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tabRatio="906" activeTab="0"/>
  </bookViews>
  <sheets>
    <sheet name="06.04.№222,1" sheetId="1" r:id="rId1"/>
  </sheets>
  <definedNames>
    <definedName name="_xlnm.Print_Titles" localSheetId="0">'06.04.№222,1'!$6:$7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R44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6 чел по 13000</t>
        </r>
      </text>
    </comment>
  </commentList>
</comments>
</file>

<file path=xl/sharedStrings.xml><?xml version="1.0" encoding="utf-8"?>
<sst xmlns="http://schemas.openxmlformats.org/spreadsheetml/2006/main" count="1331" uniqueCount="787">
  <si>
    <t>КБК</t>
  </si>
  <si>
    <t>Наименование мероприятия</t>
  </si>
  <si>
    <t>2018 год</t>
  </si>
  <si>
    <t>2019 год</t>
  </si>
  <si>
    <t>Государственная программа Орловской области "Развитие отрасли здравоохранения в Орловской области"</t>
  </si>
  <si>
    <t xml:space="preserve">Подпрограмма 1. "Профилактика заболеваний и формирование здорового образа жизни. Развитие первичной медико-санитарной помощи" </t>
  </si>
  <si>
    <t>811</t>
  </si>
  <si>
    <t>0909</t>
  </si>
  <si>
    <t>612</t>
  </si>
  <si>
    <t>1111</t>
  </si>
  <si>
    <t xml:space="preserve"> БУЗ Орловской области "Орловский областной центр по профилактике и борьбе со СПИД и инфекционными заболеваниями"</t>
  </si>
  <si>
    <t>340/7500 "Медикаменты"</t>
  </si>
  <si>
    <t>БУЗ ОО "Городская больница им.С. П.Боткина"</t>
  </si>
  <si>
    <t>БУЗ Орловской области "НКМЦ им. З.И. Круглой"</t>
  </si>
  <si>
    <t>226 "Прочие услуги, работы"</t>
  </si>
  <si>
    <t>340/7660            "Прочие материальные запасы"</t>
  </si>
  <si>
    <t>ВСЕГО</t>
  </si>
  <si>
    <t>310/7540 "Приобретение медицинского оборудования"</t>
  </si>
  <si>
    <t>Учреждение: БУЗ Орловской области "Орловский областной врачебно-физкультурный диспансер"</t>
  </si>
  <si>
    <t>226/7660 "Прочие работы, услуги"</t>
  </si>
  <si>
    <t>0902</t>
  </si>
  <si>
    <t>БУЗ ОО "Детская поликлиника №1"</t>
  </si>
  <si>
    <t>БУЗ ОО "Детская поликлиника №2"</t>
  </si>
  <si>
    <t>БУЗ ОО "Детская поликлиника №3"</t>
  </si>
  <si>
    <t>БУЗ ОО "Городская больница им.СП.Боткина"</t>
  </si>
  <si>
    <t>БУЗ ОО "Болховская ЦРБ"</t>
  </si>
  <si>
    <t>БУЗ ОО "Верховская ЦРБ"</t>
  </si>
  <si>
    <t>БУЗ ОО "Глазуновского ЦРБ"</t>
  </si>
  <si>
    <t>БУЗ ОО "Дмитровская ЦРБ"</t>
  </si>
  <si>
    <t>БУЗ ОО " Должанская ЦРБ"</t>
  </si>
  <si>
    <t>БУЗ ОО "Залегощенская ЦРБ"</t>
  </si>
  <si>
    <t>БУЗ ОО "Знаменская ЦРБ"</t>
  </si>
  <si>
    <t>БУЗ ОО  "Колпнянская ЦРБ"</t>
  </si>
  <si>
    <t>БУЗ ОО "Корсаковская ЦРБ"</t>
  </si>
  <si>
    <t>БУЗ ОО "Краснозоренская ЦРБ"</t>
  </si>
  <si>
    <t>БУЗ ОО "Кромская ЦРБ"</t>
  </si>
  <si>
    <t>БУЗ ОО "Малоархангельская ЦРБ"</t>
  </si>
  <si>
    <t>БУЗ ОО "Новосильская ЦРБ"</t>
  </si>
  <si>
    <t>БУЗ ОО "Покровская ЦРБ"</t>
  </si>
  <si>
    <t>БУЗ ОО "Ливенская ЦРБ"</t>
  </si>
  <si>
    <t>БУЗ ОО "Сосковская ЦРБ"</t>
  </si>
  <si>
    <t>БУЗ ОО "Свердловская ЦРБ"</t>
  </si>
  <si>
    <t>БУЗ ОО "Троснянская ЦРБ"</t>
  </si>
  <si>
    <t>БУЗ ОО "Нарышкинская ЦРБ"</t>
  </si>
  <si>
    <t>БУЗ ОО "Хотынецкая ЦРБ"</t>
  </si>
  <si>
    <t>БУЗ ОО "Шаблыкинская ЦРБ"</t>
  </si>
  <si>
    <t>БУЗ ОО "Плещеевская ЦРБ"</t>
  </si>
  <si>
    <t>БУЗ ОО " Новодеревеньковская ЦРБ"</t>
  </si>
  <si>
    <t>БУЗ ОО "Мценская ЦРБ"</t>
  </si>
  <si>
    <t>БУЗ ОО "Поликлиника №1"</t>
  </si>
  <si>
    <t>БУЗ ОО "Поликлиника №2"</t>
  </si>
  <si>
    <t>БУЗ ОО "Поликлиника №3"</t>
  </si>
  <si>
    <t>БУЗ ОО "Детская  поликлиника №1"</t>
  </si>
  <si>
    <t>БУЗ ОО "Глазуновская ЦРБ"</t>
  </si>
  <si>
    <t>БУЗ ОО "Должанская ЦРБ"</t>
  </si>
  <si>
    <t>БУЗ ОО "Колпнянская ЦРБ"</t>
  </si>
  <si>
    <t>БУЗ "Нарышкинская ЦРБ"</t>
  </si>
  <si>
    <t>БУЗ ОО "Новодеревеньковская ЦРБ"</t>
  </si>
  <si>
    <t>БУЗ ОО "Хотынецкая  ЦРБ"</t>
  </si>
  <si>
    <t>Департамент здравоохранения Орловской области</t>
  </si>
  <si>
    <t>Учреждение: БУЗ Орловской области "Орловский наркологический диспансер"</t>
  </si>
  <si>
    <t>Подпрограмма 2. "Совершенствование оказания специализированной, включая высокотехнологичную, медицинской помощи, в том числе скорой специализированной медицинской помощи, медицинской эвакуации"</t>
  </si>
  <si>
    <t xml:space="preserve">Субсидия бюджетным и автономным учреждениям на реализацию мероприятия "Онкология" </t>
  </si>
  <si>
    <t>П2 2 06 71660</t>
  </si>
  <si>
    <t>5048</t>
  </si>
  <si>
    <t xml:space="preserve">Основное мероприятие 2.06. "Совершенствование системы оказания медицинской помощи больным онкологическими заболеваниями" </t>
  </si>
  <si>
    <t>Учреждение: БУЗ Орловской области "Орловский онкологический диспансер"</t>
  </si>
  <si>
    <t>225/7660</t>
  </si>
  <si>
    <t xml:space="preserve"> 340/7660  "Прочие материальные запасы"</t>
  </si>
  <si>
    <t>Субсидия бюджетным и автономным учреждениям на реализацию мероприятия "Первоочередные мероприятия по профилактике, диагностике и лечению сердечно-сосудистых заболеваний"</t>
  </si>
  <si>
    <t>П2 2 05 71660</t>
  </si>
  <si>
    <t>5450</t>
  </si>
  <si>
    <t>Основное мероприятие  2.05.  "Совершенствование системы оказания медицинской помощи больным сосудистыми заболеваниями"</t>
  </si>
  <si>
    <t>Учреждение: БУЗ Орловской области "Орловская областная клиническая больница"</t>
  </si>
  <si>
    <t>всего</t>
  </si>
  <si>
    <t>Учреждение: БУЗ Орловской области  "Мценская центральная районная больница"</t>
  </si>
  <si>
    <t>Учреждение: БУЗ Орловской области  "Ливенская центральная районная больница"</t>
  </si>
  <si>
    <t xml:space="preserve">Субсидия бюджетным и автономым учреждениям на льготное обеспечение техническими средствами слухопротезирования отдельных категорий граждан </t>
  </si>
  <si>
    <t>П2 2 09 71240</t>
  </si>
  <si>
    <t>5929</t>
  </si>
  <si>
    <t>Основное мероприятие 2.09. "Совершенствование системы оказания медицинской помощи больным прочими заболеваниями"</t>
  </si>
  <si>
    <t xml:space="preserve">Субсидия бюджетным и автономным учреждениям на реализацию основного мероприятия "Обеспечение функциональной готовности к оказанию медико-санитарной помощи в условиях возникновения чрезвычайных ситуаций техногенного, природного и искусственного характера" </t>
  </si>
  <si>
    <t>П2 2 13 71660</t>
  </si>
  <si>
    <t>5046</t>
  </si>
  <si>
    <t>Основное мероприятие 2.13   "Обеспечение  функциональной готовности  к оказанию  медико-санитарной  помощи  в условиях  возникновения  чрезвычайных  ситуаций  техногенного, природного  и искусственного характера"</t>
  </si>
  <si>
    <t>310/7540 "Приобретение оборудования"</t>
  </si>
  <si>
    <t>Субсидия бюджетным и автономным учреждениям здравоохранения по заготовке, переработке, хранению и обеспечению безопасности донорской крови и ее компонентов на предоставление мер социальной поддержки из числе доноров, безвозмездно сдавшим кровь и (или) ее компоненты</t>
  </si>
  <si>
    <t>0906</t>
  </si>
  <si>
    <t xml:space="preserve">П2 2 11 70110 </t>
  </si>
  <si>
    <t xml:space="preserve">612 </t>
  </si>
  <si>
    <t>5937</t>
  </si>
  <si>
    <t xml:space="preserve">Основное мероприятие 2.11."Развитие службы крови" </t>
  </si>
  <si>
    <t>БУЗ Орловской области "Орловская станция переливания крови"</t>
  </si>
  <si>
    <t>Мероприятие 2.11.03. Предоставление мер социальной поддержки из числа доноров, безвозмездно сдавшим кровь и (или) ее компонентов</t>
  </si>
  <si>
    <t>Основание: Закон Орловской области от 25.12.2012 г. №1444-ОЗ "Об основах охраны здоровья граждан в Орловской области"</t>
  </si>
  <si>
    <t xml:space="preserve">262                    Пособия по социальной помощи населению </t>
  </si>
  <si>
    <t>Субсидия бюджетным и автономным учреждениям здравоохранения по заготовке, переработке, хранению и обеспечению безопасности донорской крови и ее компонентов на предоставление платы донорам за сдачу крови и (или) ее компонентов</t>
  </si>
  <si>
    <t>5936</t>
  </si>
  <si>
    <t xml:space="preserve">Основное мероприятие 2.11."Развитие службы крови"                                                    </t>
  </si>
  <si>
    <t>Мероприятие 2.11.02 Предоставление платы донорам за сдачу крови и (или) ее компонентов</t>
  </si>
  <si>
    <t>Основание: 1)Федеральный закон от 20.07.2012 г. №125-ФЗ "О донорстве крови и ее компонентов"</t>
  </si>
  <si>
    <t xml:space="preserve">290                    Пособия по социальной помощи населению </t>
  </si>
  <si>
    <t>2) Приказ Министерства здравоохранения РФ от 17.12.2012 г. №1069н "Об утверждении случаев, в которых возможна сдача крови и (или) ее компонентов за плату, а также размеров такой платы</t>
  </si>
  <si>
    <t>0901</t>
  </si>
  <si>
    <t>БУЗ ОО "ООПБ"</t>
  </si>
  <si>
    <t>П2 2 02 R3820</t>
  </si>
  <si>
    <t>Основное мероприятие 2.02. Совершенствование оказания медицинской помощи лицам, инфицированным вирусом иммунодефицита человека, гепатитами В и С</t>
  </si>
  <si>
    <t>Мероприятия 2.02.02. Финансовое обеспечение закупок диагностических средств для выявления и мониторинга лечения и лечению лиц, инфицированных вирусами иммунодефицита человека и гепатитов B и C.</t>
  </si>
  <si>
    <t xml:space="preserve">Подпрограмма 4. "Охрана здоровья матери и ребенка" </t>
  </si>
  <si>
    <t>Субсидия бюджетным и автономным учреждениям здравоохранения на закупки оборудования и расходных материалов для неонатального и аудиологического скрининга в учреждениях государственной системы здравоохранения</t>
  </si>
  <si>
    <t>П2 4 02 72870</t>
  </si>
  <si>
    <t>5902</t>
  </si>
  <si>
    <t>Основное мероприятие 4.02. "Совершенствование ситемы раннего выявления и коррекции нарушений развития ребенка"</t>
  </si>
  <si>
    <t xml:space="preserve">Учреждение:  БУЗ Орловской области "Научно-клинический многопрофильный центр медицинской помощи матерям и детям им. З.И. Круглой"                   </t>
  </si>
  <si>
    <t xml:space="preserve">Мероприятие 4.02.02.  Применение современных методик диагностики и лечения детей. Совершенствование аудиологического скрининга новорожденных, неонатального скрининга на наследственные и врожденные заболевания </t>
  </si>
  <si>
    <t>Субсидия бюджетным и автономным учреждениям здравоохранения на  мероприятия направленные на проведение пренатальной (дородовой) диагностики нарушений развития ребенка</t>
  </si>
  <si>
    <t>П2 4 02 72860</t>
  </si>
  <si>
    <t>5901</t>
  </si>
  <si>
    <t>Мероприятие 4.02.01.  Применение современных методик диагностики и лечения детей. Организация и совершенствование эффективной комплексной пренатальной (дородовой) диагностики наследственной и врождённой патологии</t>
  </si>
  <si>
    <t>Субсидия бюджетным и автономным учреждениям на обеспечение полноценным питанием беременных женщин, кормящих матерей, а также детей в возрасте до трех лет</t>
  </si>
  <si>
    <t>1004</t>
  </si>
  <si>
    <t>П2 4 07 72560</t>
  </si>
  <si>
    <t>5695</t>
  </si>
  <si>
    <t>Основное мероприятие 07. "Обеспечение  беременных и детей раннего возраста поноценным питанием"</t>
  </si>
  <si>
    <t>Мероприятие 4.07.01. Обеспечение полноценным питанием беременных женщин, кормящих матерей, а также детей в возрасте до трех лет</t>
  </si>
  <si>
    <t>БУЗ ОО "Родильный дом"</t>
  </si>
  <si>
    <t xml:space="preserve">Подпрограмма 5. "Развитие медицинской реабилитации и санаторно-курортного лечения, в том числе детям " </t>
  </si>
  <si>
    <t>Субсидия бюджетным и автономным учреждениям здравоохранения на содержание и подготовку к оздоровительной кампании</t>
  </si>
  <si>
    <t>0905</t>
  </si>
  <si>
    <t>П2 5 02 70110</t>
  </si>
  <si>
    <t>5908</t>
  </si>
  <si>
    <t>Основное мероприятие 5.02.                             "Развитие санаторно-курортного лечения, в том числе детям"</t>
  </si>
  <si>
    <t>БУЗ ОО "Детский санаторий Орловчанка"</t>
  </si>
  <si>
    <t>Подпрограмма 7. "Кадровое обеспечение системы здравоохранения"</t>
  </si>
  <si>
    <t>Социальное обеспечение и иные выплаты населению</t>
  </si>
  <si>
    <t xml:space="preserve">П2 7 01 71660 </t>
  </si>
  <si>
    <t>360</t>
  </si>
  <si>
    <t>7510</t>
  </si>
  <si>
    <t>Основное мероприятие 7.01. "Совершенствование системы целевой контрактной подготовки молодых специалистов"</t>
  </si>
  <si>
    <t>290/7510 "Стипендии"</t>
  </si>
  <si>
    <t>П2 7  02 71660</t>
  </si>
  <si>
    <t>5440</t>
  </si>
  <si>
    <t>БУЗ ОО  "Мценская центральная районная больница"</t>
  </si>
  <si>
    <t>БУЗ ОО "Троснянская центральная районная больница"</t>
  </si>
  <si>
    <t>БУЗ ОО "Орловский противотуберкулезный диспансер"</t>
  </si>
  <si>
    <t>БУЗ ОО "Орловский онкологический диспансер"</t>
  </si>
  <si>
    <t>БУЗ ОО "Орловская областная психиатрическая больница"</t>
  </si>
  <si>
    <t>БУЗ ОО "Орловский областной врачебно-физкультурный диспансер"</t>
  </si>
  <si>
    <t>БУЗ ОО"Новосильская  ЦРБ"</t>
  </si>
  <si>
    <t>БУЗ ОО"Ливенская  ЦРБ"</t>
  </si>
  <si>
    <t>БУЗ ОО "ССМП"</t>
  </si>
  <si>
    <t>БУЗ Орловской области "Знаменская ЦРБ"</t>
  </si>
  <si>
    <t>БУЗ ОО"Кромская  ЦРБ"</t>
  </si>
  <si>
    <t>П2 7  03 71660</t>
  </si>
  <si>
    <t>Основное мероприятие 7.03. "Повышение престижа медицинских специальностей"</t>
  </si>
  <si>
    <t xml:space="preserve">Мероприятие 7.03.01. "Установление выплат стимулирующего характера по итогам конкурса " Лучший врач"  </t>
  </si>
  <si>
    <t>П2 7  04 71660</t>
  </si>
  <si>
    <t>Основное мероприятие 7.04. "Социальная поддержка отдельных категорий медицинских работников"</t>
  </si>
  <si>
    <t xml:space="preserve">   БУЗ ОО " Больница скорой медицинской помощи им. Семашко"</t>
  </si>
  <si>
    <t xml:space="preserve">   БУЗ ОО " Городская больница им. С.П.Боткина"</t>
  </si>
  <si>
    <t xml:space="preserve">   БУЗ Орловской области  "Поликлиника №1"</t>
  </si>
  <si>
    <t xml:space="preserve">   БУЗ Орловской области  "Поликлиника №2"</t>
  </si>
  <si>
    <t xml:space="preserve">   БУЗ Орловской области  "Поликлиника № 3"</t>
  </si>
  <si>
    <t xml:space="preserve">   БУЗ Орловской области  "Поликлиника № 5"</t>
  </si>
  <si>
    <t xml:space="preserve">   БУЗ ОО "Детская поликлиника № 1"</t>
  </si>
  <si>
    <t xml:space="preserve">   БУЗ ОО  "Родильный дом"</t>
  </si>
  <si>
    <t xml:space="preserve">   БУЗ ОО "Ливенская центральная районная больница"</t>
  </si>
  <si>
    <t xml:space="preserve">   БУЗ ОО  "Мценская центральная районная больница"</t>
  </si>
  <si>
    <t xml:space="preserve">   БУЗ ОО  "Болховская центральная районная больница"</t>
  </si>
  <si>
    <t xml:space="preserve">   БУЗ ОО  "Верховская центральная районная больница"</t>
  </si>
  <si>
    <t xml:space="preserve">   БУЗ ОО  "Глазуновская центральная районная больница"</t>
  </si>
  <si>
    <t xml:space="preserve">   БУЗ ОО  "Дмитровская центральная районная больница"</t>
  </si>
  <si>
    <t xml:space="preserve">   БУЗ ОО  "Должанская центральная районная больница"</t>
  </si>
  <si>
    <t xml:space="preserve">   БУЗ ОО  "Колпнянская центральная районная больница"</t>
  </si>
  <si>
    <t xml:space="preserve">   БУЗ ОО  "Краснозоренская центральная районная больница"</t>
  </si>
  <si>
    <t xml:space="preserve">   БУЗ ОО  "Кромская центральная районная больница"</t>
  </si>
  <si>
    <t xml:space="preserve">   БУЗ ОО "Малоархангельская центральная районная больница"</t>
  </si>
  <si>
    <t xml:space="preserve">   БУЗ ОО  "Новодеревеньковская  центральная районная больница"</t>
  </si>
  <si>
    <t xml:space="preserve">   БУЗ ОО  "Плещеевская  центральная районная больница "</t>
  </si>
  <si>
    <t xml:space="preserve">   БУЗ ОО "Свердловская  центральная районная больница"</t>
  </si>
  <si>
    <t xml:space="preserve">   БУЗ ОО"Троснянская центральная районная больница"</t>
  </si>
  <si>
    <t>БУЗ ОО  "Нарышкинская центральная районная больница"</t>
  </si>
  <si>
    <t xml:space="preserve">   БУЗ ОО  "Хотынецкая центральная районная больница"</t>
  </si>
  <si>
    <t xml:space="preserve">   БУЗ ОО "Шаблыкинская центральная районная больница"</t>
  </si>
  <si>
    <t xml:space="preserve">   БУЗ ОО"Орловская областная клиническая больница"</t>
  </si>
  <si>
    <t xml:space="preserve">  БУЗ Орловской области "Научно-клинический многопрофильный центр медицинской помощи матерям и детям им. З.И. Круглой"               </t>
  </si>
  <si>
    <t xml:space="preserve">   БУЗ ОО "Орловский областной кожно-венерологический диспансер"</t>
  </si>
  <si>
    <t xml:space="preserve">   БУЗ ОО "Орловский противотуберкулезный диспансер"</t>
  </si>
  <si>
    <t xml:space="preserve">   БУЗ ОО "Орловский онкологический диспансер"</t>
  </si>
  <si>
    <t xml:space="preserve">   БУЗ ОО "Орловский наркологический диспансер"</t>
  </si>
  <si>
    <t xml:space="preserve">   БУЗ ОО "Орловская областная психиатрическая больница"</t>
  </si>
  <si>
    <t>БУЗ ОО " Городская больница им. С.П.Боткина"</t>
  </si>
  <si>
    <t xml:space="preserve"> БУЗ ОО "Детская поликлиника № 3"</t>
  </si>
  <si>
    <t>БУЗ ОО "Детская поликлиника № 2"</t>
  </si>
  <si>
    <t>БУЗ ОО "Детская поликлиника № 1"</t>
  </si>
  <si>
    <t>212               Прочие выплаты</t>
  </si>
  <si>
    <t>БУЗ ОО "Покровская центральная районная больница"</t>
  </si>
  <si>
    <t xml:space="preserve"> БУЗ ОО  "Новосильская  центральная районная больница"</t>
  </si>
  <si>
    <t>БУЗ ОО  "Колпнянская центральная районная больница"</t>
  </si>
  <si>
    <t>БУЗ ОО "Ливенская центральная районная больница"</t>
  </si>
  <si>
    <t>5997</t>
  </si>
  <si>
    <t>П2 7 04 70110</t>
  </si>
  <si>
    <t xml:space="preserve">Основное мероприятие 7.04.                     "Обеспечение деятельности (оказание услуг) государственных учреждений" </t>
  </si>
  <si>
    <t>БУЗ ОО "Орловское бюро судебно-медицинской экспертизы"</t>
  </si>
  <si>
    <t>Подпрограмма 8. "Лекарственное обеспечение отдельных категорий граждан"</t>
  </si>
  <si>
    <t>П2 8 02 72370</t>
  </si>
  <si>
    <t>5996</t>
  </si>
  <si>
    <t xml:space="preserve">Основное мероприятие 8.02.                     "Лекарственное обеспечение граждан с орфанными заболеваниями" </t>
  </si>
  <si>
    <t xml:space="preserve">Подпрограмма 9. "Развитие информатизации в зравоохранении" </t>
  </si>
  <si>
    <t xml:space="preserve">Субсидии бюджетным и автономным учреждениям на реализацию мероприятий подпрограммы "Развитие информатизации в зравоохранении" </t>
  </si>
  <si>
    <t>П2 9 01 71660</t>
  </si>
  <si>
    <t>5989</t>
  </si>
  <si>
    <t>БУЗ Орловской области "Медицинский информационно-аналитический центр"</t>
  </si>
  <si>
    <t>Государственная программа Орловской области "Молодежь Орловщины"</t>
  </si>
  <si>
    <t>340/7520</t>
  </si>
  <si>
    <t>Субсидия бюджетным и автономным учреждениям на реализацию подпрограммы "Комплексные меры противодействия злоупотреблению наркотиками и их незаконному обороту" государственной программы Орловской области "Молодежь Орловщины"</t>
  </si>
  <si>
    <t>П6 4 04 72910</t>
  </si>
  <si>
    <t>5180</t>
  </si>
  <si>
    <t>Основное мероприятие  04.                                    "Организация целенаправленной информационно-просветительской работы с населением, прежде всего – с молодежью, по антинаркотической пропаганде"</t>
  </si>
  <si>
    <t>Разработка, тиражирование и распространение среди целевых групп населения методической и профилактической литературы по предотвращению незаконного потребления наркотиков</t>
  </si>
  <si>
    <t>П6 4 05 72910</t>
  </si>
  <si>
    <t xml:space="preserve">Основное мероприятие 05.                                                       "Внедрение новых методов и средств профилактики наркомании, лечения, а также медицинской   и социально-психологической реабилитации больных наркоманией"                   </t>
  </si>
  <si>
    <t>Разработка системы раннего выявления немедицинского потребления наркотиков и приобретение экспресс-тестов с целью выявления немедицинского потребления психоактивных веществ среди несовершеннолетних и молодежи</t>
  </si>
  <si>
    <t xml:space="preserve"> БУЗ Орловской области "Орловская областная клиническая больница"</t>
  </si>
  <si>
    <t xml:space="preserve"> БУЗ ОО " Больница скорой медицинской помощи им. Семашко"</t>
  </si>
  <si>
    <t>Мероприятие 7.04.02. "Установление надбавки стимулирующего характера к должностному окладу врачам-педиатрам дошкольно-школьных отделений учреждений здравоохранения Орловской области, в разрезе 5000 руб.</t>
  </si>
  <si>
    <t>Мероприятие 9.01.01. Обслуживание региональной МИС</t>
  </si>
  <si>
    <t>ИТОГО</t>
  </si>
  <si>
    <t>БУЗ ОО "Больница скорой медицинской помощи им. Семашко"</t>
  </si>
  <si>
    <t>Основное мероприятие 9.01.                                                  "Поддержка, доработка и внедрение Единой государственной системы в сфере здравоохранения Орловской области"</t>
  </si>
  <si>
    <t>Бюджет 2017 года</t>
  </si>
  <si>
    <t>226                      Прочие услуги, работы</t>
  </si>
  <si>
    <t>Основное мероприятие 7.02.                          "Повышение квалификации и переподготовка медицинских и фармацевтических работников"</t>
  </si>
  <si>
    <t>П2 1 03 R3820</t>
  </si>
  <si>
    <t>Софинансирование расходных обязательств</t>
  </si>
  <si>
    <t>П2 2 01 R3820</t>
  </si>
  <si>
    <t>2020 год</t>
  </si>
  <si>
    <t>Отчет 2016 года</t>
  </si>
  <si>
    <t>Потребность по годам, рублей</t>
  </si>
  <si>
    <t>Мероприятие 7.01.01.  "Установление доплаты к стипендиям ординаторам, заключивших договора на целевую подготовку с учреждениями здравоохранения Орловской области с 1 сентября 2017 года</t>
  </si>
  <si>
    <t>ИТОГО по КОСГУ 211</t>
  </si>
  <si>
    <t>ИТОГО по КОСГУ 213</t>
  </si>
  <si>
    <t>чел.</t>
  </si>
  <si>
    <t>чел</t>
  </si>
  <si>
    <t>сек</t>
  </si>
  <si>
    <t>шт.</t>
  </si>
  <si>
    <t>Размещение статей в газетах "Орловская правда" и "Городская газета"</t>
  </si>
  <si>
    <t>Прямой эфир со специалистами на ТВ</t>
  </si>
  <si>
    <t>Прямой эфир со специалистами на радио</t>
  </si>
  <si>
    <t>Подготовка видеороликов</t>
  </si>
  <si>
    <t>Донору в связи с осуществлением безвозмездной донации крови или ее компонентов, в случае экстренного вызова -  15% от действующего на момент сдачи прожиточного минимума на душу населения</t>
  </si>
  <si>
    <t>донация</t>
  </si>
  <si>
    <t>Донорам в связи с осуществлением безвозмездной донации крови или ее компонентов, в в выездных условиях -  10% от действующего на момент сдачи прожиточного минимума на душу населения</t>
  </si>
  <si>
    <t>Доноры плазмы за одну донацию плазмы в объеме 600 (+/-10%) мл -15% от действующего на дату сдачи прожиточного минимума трудоспособного населения</t>
  </si>
  <si>
    <t>набор</t>
  </si>
  <si>
    <t>БУЗ ОО"Орловский центр СПИД"</t>
  </si>
  <si>
    <t>БУЗ ОО"Хотынецкая  ЦРБ"</t>
  </si>
  <si>
    <t xml:space="preserve">вр.-эндоскопист 1-211ст. Оклад 12100,00*12%=1452,00; вр.-КЛД-2-211ст. Оклад 12100,00*12%*2=2904,00;вр.-рентгенолог-2-211ст. Оклад 12100,00*12%*2=2904,00;вр.-бактериолог-2-211ст. Оклад 12100,00*12%*2=2904,00. ИТОГО: 211ст.-12100,00*12%*7человек * 12 месяцев = 211 ст. год - 121 968,00 рублей. </t>
  </si>
  <si>
    <t>профессиональная переподготовка по спортивной медицине 1 чел.</t>
  </si>
  <si>
    <t xml:space="preserve">оклад 12100х 12% =1452,0  7врачей  врачКДЛ 2Х1452Х12=34848 врач-эндоскопист 1х1452х12=17424  врач-рентгенолог 4х1452х12=69696  итого:34848+17424+69696=121968 </t>
  </si>
  <si>
    <t>Врач-эндоскопист, работающий на 0,75 ставки</t>
  </si>
  <si>
    <t>БУЗ ОО "Орловский областной кожно-венерологический диспансер"</t>
  </si>
  <si>
    <t>врач КЛД-1 ед, -оклад 12100,врач -рентгенолог-1 ед-оклад12100</t>
  </si>
  <si>
    <t>Ремонт медицинского оборудования</t>
  </si>
  <si>
    <t>Кардиологическое отд.№ 1 с ПРИТ</t>
  </si>
  <si>
    <t>Портативный электрокардиограф</t>
  </si>
  <si>
    <t xml:space="preserve">Дефибриллятор бифазный с функцией синхронизации </t>
  </si>
  <si>
    <t>Функциональная кровать с возможностью быстрой доставки на ней больных в ПРИТ и проведение на ней закрытого массажа сердца</t>
  </si>
  <si>
    <t>Неврологическое отд.№2 для больных с ОНМК с ПРИТ</t>
  </si>
  <si>
    <t>Кровать функциональная с боковыми спинками трехсекционная для палаты ранней реабилитации</t>
  </si>
  <si>
    <t>Аппарат ИВЛ</t>
  </si>
  <si>
    <t>Прикроватный столик</t>
  </si>
  <si>
    <t xml:space="preserve">Портативный электрокардиограф </t>
  </si>
  <si>
    <t xml:space="preserve">Аппарат «Артмео» для разработки верхних конечностей </t>
  </si>
  <si>
    <t>Аппарат УФО переносной</t>
  </si>
  <si>
    <t>Отделение патологии речи и нейрореабилитации</t>
  </si>
  <si>
    <t>Кресло-туалет</t>
  </si>
  <si>
    <t>Аппарат для роботизированной механотерапии нижних конечностей "Мотомед" или "Теравитал"</t>
  </si>
  <si>
    <t>Оборудование для восстановления мышечной силы для мелких мышц</t>
  </si>
  <si>
    <t>Программа когнитивной реабилитации</t>
  </si>
  <si>
    <t>Отд.анестезиологии-реанимации для ведения больных нейрохирургического профиля</t>
  </si>
  <si>
    <t xml:space="preserve">Аппарат ИВЛ </t>
  </si>
  <si>
    <t>Отделение функциональной диагностики</t>
  </si>
  <si>
    <t xml:space="preserve">Электроэнцефалограф </t>
  </si>
  <si>
    <t>Портативный электрокардиограф – (весом не более 3кг)</t>
  </si>
  <si>
    <t>Автоматизированная инфузионная система INFUZIOMAT</t>
  </si>
  <si>
    <t>Монитор пациента</t>
  </si>
  <si>
    <t>Пульсоксиметр</t>
  </si>
  <si>
    <t>Передвижной операционный медицинский светильник с аварийным питанием с возможностью регулировки освещенности, электропитанием от сети переменного тока, с автоматическим переключением на встроенные резервные батареи и автоматической зарядкой их</t>
  </si>
  <si>
    <t>Ларингоскоп с набором клинков</t>
  </si>
  <si>
    <t>Электрокардиограф по типу Аксион по типу ЭКЗТ-02</t>
  </si>
  <si>
    <t>заработная плата</t>
  </si>
  <si>
    <t>Генеральный директор</t>
  </si>
  <si>
    <t>Заместитель генерального директора по воспитательной работе</t>
  </si>
  <si>
    <t>Секретарь</t>
  </si>
  <si>
    <t>Специалист по кадрам</t>
  </si>
  <si>
    <t>Главный бухгалтер</t>
  </si>
  <si>
    <t>Заместитель главного бухгалтера</t>
  </si>
  <si>
    <t>Экономист</t>
  </si>
  <si>
    <t>Бухгалтер</t>
  </si>
  <si>
    <t>Заведующий складом твердого инвентаря</t>
  </si>
  <si>
    <t>Водитель автомобиля</t>
  </si>
  <si>
    <t>Инженер-электрик</t>
  </si>
  <si>
    <t>Электромонтер по ремонту и обслуживанию электрооборудования</t>
  </si>
  <si>
    <t>Заместитель директора по АХЧ</t>
  </si>
  <si>
    <t>Оператор котельной</t>
  </si>
  <si>
    <t>Плотник</t>
  </si>
  <si>
    <t>Слесарь-сантехник</t>
  </si>
  <si>
    <t>Уборщик служебных помещений</t>
  </si>
  <si>
    <t>Дворник</t>
  </si>
  <si>
    <t>Сторож</t>
  </si>
  <si>
    <t>Заведующий складом твердого инвентаря сол "Мечта"</t>
  </si>
  <si>
    <t>Сторож сол "Мечта"</t>
  </si>
  <si>
    <t>страховые взносы 30,2%</t>
  </si>
  <si>
    <t>коммунальные услуги,    в т.ч.</t>
  </si>
  <si>
    <t>тыс. м. куб.</t>
  </si>
  <si>
    <t>покупка электрической энергии</t>
  </si>
  <si>
    <t>тыс.квтчас</t>
  </si>
  <si>
    <t>прочие услуги</t>
  </si>
  <si>
    <t>Прочие работы, услуги Выполнение работ по развитию и техническому сопровождению Типовой информационной системы льготного лекарственного обеспечения жителей Орловской области "</t>
  </si>
  <si>
    <t>шт</t>
  </si>
  <si>
    <t>Антивирус для серверов DRWEB</t>
  </si>
  <si>
    <t>Продление лицензии DRWEB для серверов</t>
  </si>
  <si>
    <t>Лицензии VipNet Client для обеспечения защищенной сети подключаемых в 2017 году врачебных амбулаторий, РБ и УБ в 2019-2020 для ФАПов</t>
  </si>
  <si>
    <t>Источник бесперебойного питания  АРС Smart - UPS X 2200VA для серверов</t>
  </si>
  <si>
    <t>тиражирование методической литературы: календари настенные - 100шт., буклеты (3 вида) по 2000шт.</t>
  </si>
  <si>
    <t>упак</t>
  </si>
  <si>
    <t>ИТОГО (2018 год)</t>
  </si>
  <si>
    <t>ИТОГО (2019 год)</t>
  </si>
  <si>
    <t>ИТОГО (2020 год)</t>
  </si>
  <si>
    <t>итого</t>
  </si>
  <si>
    <t>340/7520 "Питание"</t>
  </si>
  <si>
    <t>Врач-анестезиолог реаниматолог 5 чел. 14100руб.; врач-эндескопист 1 чел. 14100руб.; врач-рентгенолог 5 чел. 12100руб., врач КДЛ 2 чел. 12100 руб., врач-бактериолог  2 чел. 12100 руб.</t>
  </si>
  <si>
    <t>Врач анестезиолог-реан 14ч+врач неонатолог 6ч+врач эндоскопист 3ч (14100 руб.)Врач-бактериолог 2ч + Врач КЛД 9ч+ Врач сурдолог-отолар 2ч+ Врач патологоанат 1ч + Врач ренгенолог 9ч  (12100 руб.)</t>
  </si>
  <si>
    <t>Врач  КДЛ - (12100руб. )</t>
  </si>
  <si>
    <t>1 врач-анестезиолог-реаниматолог - (13100руб.)                                                                           1 врач КЛД - ( 12100руб)</t>
  </si>
  <si>
    <t>Врач анестезиолог-реан 15ч+врач неонатолог 8ч (14100 руб.), Врач-генетик 3ч + Врач КЛД  4 чел. (12100 руб.)</t>
  </si>
  <si>
    <t>Вр.-анестезиолог-реаниматолог 43*1692*12;
вр.клинич.лаборатор.диагностики 6*1452*12;
вр.-патологоанатом 3*1692*12+1*1692*5,5
(+1 чел. с 15.07.18г. из д\о);
вр.-рентгенолог 1*1692*12+16*1452*12+1*1452*2
(+1 чел. с 01.11.18г. из д\о);
вр.-эндоскопист 4*1692*12;
вр.-бактериолог 1*1452*12;
вр.-сурдолог-оториноларинголог 1*1452*12</t>
  </si>
  <si>
    <t>Врач-рентгенолог 1 чел.  12100 руб.,                                                   Врач КДЛ 1 чел. 12100 руб.</t>
  </si>
  <si>
    <t>Врач рентгенолог  1 чел                     (12100 руб.)</t>
  </si>
  <si>
    <t xml:space="preserve"> Врач-рентгенолог -1,0 ст-12100 руб.,   врач  КДЛ 1,0 ст,-12100 руб.; врач-эндоскопист -0,50 ст-12100 руб.</t>
  </si>
  <si>
    <t xml:space="preserve"> Врач анестезиолог-реаниматолог 1 чел. (14100 руб.)</t>
  </si>
  <si>
    <t>Врач-эндоскопист 1,0 (12100руб.)</t>
  </si>
  <si>
    <t>Врач анест-реан 1 чел.  14100руб., Врач КДЛ 4 чел.-12100руб.,Врач рентген- 4 чел. 12100руб.,Врач-эндос-1 чел. 12100руб.</t>
  </si>
  <si>
    <t>Врач КДЛ 3 чел. 12100 руб.</t>
  </si>
  <si>
    <t>Врач - рентгенолог 4чел 12100руб.; врач - патологоанатом 2чел 14100 руб. врач-анестезиолог -реаниматолог 7чел 14100руб.;  врач клинической лабораторной  диагностики 4чел 12100руб.,  врач - эндоскопист 3чел 14100руб.</t>
  </si>
  <si>
    <t>Повышение квалификации по специальности "Фармация,химия и фармакогнозия" 1 чел.*6500 руб. = 6500 руб.</t>
  </si>
  <si>
    <t xml:space="preserve"> повышение квалификации по специальности "Неврология" 1чел.*14000руб.=14000руб.</t>
  </si>
  <si>
    <t xml:space="preserve">повышение квалификации по специальности "КДЛ" 1чел.*14000руб.=14000руб., </t>
  </si>
  <si>
    <t xml:space="preserve">повышение квалификации по специальности "Медицинская и судебная психология" 2чел.*20000руб.=40000руб., </t>
  </si>
  <si>
    <t xml:space="preserve">повышение квалификации по специальности "Судебная психология" 1чел.*20000руб.=20000руб., </t>
  </si>
  <si>
    <t>повышение квалификации по специальности "Эпидемиология" 1чел.*8000руб.=8000руб</t>
  </si>
  <si>
    <t>повышение квалификации по специальности "Организация здравоохранения и общественное здоровье" 2чел.*8000руб.=16000руб</t>
  </si>
  <si>
    <t>повышение квалификации по специальности "Функциональная диагностика" 1чел.*14000руб.=14000руб.,4чел.*12000руб.=48000руб</t>
  </si>
  <si>
    <t>повышение квалификации по специальности "Диетология" 3чел.*14000руб.=42000руб.,</t>
  </si>
  <si>
    <t>повышение квалификации по специальности "Лабораторная диагностика" 4чел.*6400руб.=25600руб</t>
  </si>
  <si>
    <t xml:space="preserve"> повышение квалификации по специальности "Сестринское дело в офтальмологии" 1чел.*6400руб.=6400руб</t>
  </si>
  <si>
    <t xml:space="preserve">повышение квалификации по специальности "Сестринское дело в ЦСО" 1чел.*6400руб.=6400руб., </t>
  </si>
  <si>
    <t xml:space="preserve"> повышение квалификации по специальности "Физиотерапия" 1чел.*8000руб.=8000руб</t>
  </si>
  <si>
    <t>повышение квалификации по специальности "Экспертиза временной нетрудоспособности" 11чел.*4000руб.=44000руб</t>
  </si>
  <si>
    <t xml:space="preserve">повышение квалификации по специальности "Инфекционные болезни" 1 чел.*14000руб.=14000руб., </t>
  </si>
  <si>
    <t>повышение квалификации по специальности "Инфекционные болезни" 1 чел.*14000руб.=14000руб.,</t>
  </si>
  <si>
    <t xml:space="preserve">повышение квалификации по специальности "Психиатрия" 16 чел.*14000руб.=224000руб., </t>
  </si>
  <si>
    <t>повышение квалификации по специальности "Психотерапия" 1чел.*17600руб.=17600руб.</t>
  </si>
  <si>
    <t>повышение квалификации по специальности "Судебно-психиатрическая экспертиза" 5чел.*20000руб.=100000руб</t>
  </si>
  <si>
    <t>повышение квалификации по специальности "Организация работы с наркотическими средствами,психотропными веществами и их прекурсорами" 1чел.*3000руб.=3000руб</t>
  </si>
  <si>
    <t xml:space="preserve">повышение квалификации по специальности "Психиатрия-наркология" 1чел.*24000руб.=24000руб., </t>
  </si>
  <si>
    <t>повышение квалификации по специальности "Стоматология общей практики" 1чел.*20000руб.=20000руб</t>
  </si>
  <si>
    <t>повышение квалификации по специальности "Логопедия" 1чел.*5000 руб.=5000руб.</t>
  </si>
  <si>
    <t xml:space="preserve">повышение квалификации по специальности "Медицинская психология" 1чел.*20000руб.=20000руб., </t>
  </si>
  <si>
    <t>повышение квалификации по специальности "Ультразвуковая диагностика" 1чел.*8000руб.=8000руб.</t>
  </si>
  <si>
    <t>повышение квалификации по специальности "Рентгенология" 2чел.*6400руб.=12800руб.,</t>
  </si>
  <si>
    <t>повышение квалификации по специальности "Оториноларингология" 1чел.*6400руб.=6400руб</t>
  </si>
  <si>
    <t>повышение квалификации по специальности "Управление и экономика здравоохранения" 1чел.*8000руб.=8000руб.</t>
  </si>
  <si>
    <t>вр. анестезиолог-реаниматолог 0,5 ст  (14100,0руб), вр-эноскопист 0,5ст. (14100,0руб.); врач-лаборант 1 чел.(12100руб.); вр-рентгенолог 1 чел. (12100,0 руб.)</t>
  </si>
  <si>
    <t>врач-ренгенолог 1 (12100 руб.)</t>
  </si>
  <si>
    <t xml:space="preserve">  врач анестезиол.    2 чел (14100 руб.)</t>
  </si>
  <si>
    <t>врач-ренгенолог 1 чел. (12100,0 руб.)</t>
  </si>
  <si>
    <t xml:space="preserve">Долж оклад - 14425руб./мес.*12% = 1731руб.
врач анестезиолог-реаниматолог - 2 чел 
врачКДЛ -2 чел.
</t>
  </si>
  <si>
    <t>врач анестезиолог-реаниматолог 1 чел. (14100 руб.);    врач КДЛ 1 чел (12100 руб.)</t>
  </si>
  <si>
    <t>врач-эндоскопист 1чел. (10575руб.)                                   врач-рентгенолог 1 чел (12100руб.)</t>
  </si>
  <si>
    <t xml:space="preserve"> врач анестезиолог-реаниматолог,врач КДЛ: должностной оклад 2 чел. (12100руб.); врач-анестезиолог1 чел. (14100 руб.)</t>
  </si>
  <si>
    <t xml:space="preserve"> врач анестезиолог-реаниматолог-6 чел. (14100 руб.),  врач-бактериолог-2 чел. (12100,0 руб.)               врач клинической лабораторной диагностики-3 чел. (12100 руб.),  врач-неонатолог-2 чел. (14100 руб.);  врач рентгенолог-3 чел. (12100 руб.)</t>
  </si>
  <si>
    <t>врач рентгенолог 1,0  (12100 руб.)</t>
  </si>
  <si>
    <t xml:space="preserve">врач анестезиолог-реаниматолог - 8 чел, оклад 14100 руб.
врач бактериолог - 2 чел., оклад 12100 руб.
врач КДЛ - 8 чел., оклад 12100 руб.
врач-неонатолог - 4 чел., оклад - 14100 руб.
врач патологоанатом - 3 чел, оклад 14100 руб.
врач рентгенолог - 5 чел., оклад - 12100 руб.
врач эндоскопист - 3 чел., оклад - 14100 руб.
</t>
  </si>
  <si>
    <t>211 "Заработная плата"</t>
  </si>
  <si>
    <t>213 "Начисление на заработную плату"</t>
  </si>
  <si>
    <t xml:space="preserve"> Средний размер должностного оклада = 13700,00                                                                             Врач КДЛ 1,5 =13100,00 х 1,5 х 12%=2358,00                                                  Врач неонатолог 1=14100,004 х1,0 х 12%= 1692,00                                                                        Врач рентгенолог 0,5=13100,00 х 0,5 х 12% = 786,00                                                                               Врач анестезиолог реаниматолог 2=14100,00 х 2,0 х 12% = 3384,00)</t>
  </si>
  <si>
    <t xml:space="preserve">2019г = 4чел*5000*8мес=160 000,0 руб., 3чел*5000*4мес=6000; </t>
  </si>
  <si>
    <t xml:space="preserve">2018 г = 4чел*5000*4мес=80 000,0 руб.; </t>
  </si>
  <si>
    <t>2020г = 3чел*5000*8мес=120 000 руб., 3чел*5000*4мес=60000 руб.</t>
  </si>
  <si>
    <t>БУЗ ОО "Орловская областная клиническая больница"</t>
  </si>
  <si>
    <t xml:space="preserve">врач невролог-1х8м-цевх5000 = 40 000 </t>
  </si>
  <si>
    <t>врач эндокринолог 1х8м-цх5000 = 40 000</t>
  </si>
  <si>
    <t xml:space="preserve">врач терапевт 1х8м-цевх 5000 = 40 000 </t>
  </si>
  <si>
    <t xml:space="preserve"> врач стоматолог1х4м-ца х5000 = 20 000</t>
  </si>
  <si>
    <t xml:space="preserve">врач офтальмолог1х4м-ца х 5000 = 20 000 </t>
  </si>
  <si>
    <t xml:space="preserve"> БУЗ ОО  "Верховская  центральная районная больница"</t>
  </si>
  <si>
    <t xml:space="preserve"> БУЗ ОО  "Корсаковская центральная районная больница"</t>
  </si>
  <si>
    <t>2018 г. повышение квалификации врач-невролог</t>
  </si>
  <si>
    <t>Врач-нарколог - 3 чел.</t>
  </si>
  <si>
    <t>руб.</t>
  </si>
  <si>
    <t>Директор филиала СОЛ "Мечта"</t>
  </si>
  <si>
    <t>510 014</t>
  </si>
  <si>
    <t>Субсидия бюджетным и автономным учреждениям здравоохранения на обеспечение граждан лекарственными препаратами для лечения заболеваний, включенных в перечень жизнеугрожающих и хронических прогрессирующих редких (орфанных) заболеваний, приводящих к сокращению продолжительности жизни гражданина или его инвалидности</t>
  </si>
  <si>
    <t>52 П 2 18</t>
  </si>
  <si>
    <t xml:space="preserve">Субсидия бюджетным и автономным учреждениям на реализацию мероприятия "ВИЧ- инфекция" </t>
  </si>
  <si>
    <t>П2 1 03 71660</t>
  </si>
  <si>
    <t>5041</t>
  </si>
  <si>
    <t>Основное мероприятие 1.3.                                    "Профилактика ВИЧ, вирусных гепатитов В и С и первичной медико-санитарной помощи"</t>
  </si>
  <si>
    <t xml:space="preserve">Тест -системы для иммуно-ферментного анализа                                                         </t>
  </si>
  <si>
    <t>наб.</t>
  </si>
  <si>
    <t>Тест-системы для полимеразной цепной реакции</t>
  </si>
  <si>
    <t>Наборы реагентов для иммунологии</t>
  </si>
  <si>
    <t>225/7530  "Текущий ремонт"</t>
  </si>
  <si>
    <t>Текущий ремонт двух кабинетов врачей (смета прилагается)</t>
  </si>
  <si>
    <t>340/7500    "Медикаменты"</t>
  </si>
  <si>
    <t>Субсидия бюджетным и автономным учреждениям на реализацию мероприятия "Вирусные гепатиты"</t>
  </si>
  <si>
    <t>5047</t>
  </si>
  <si>
    <t>340/7500  "Медикаменты"</t>
  </si>
  <si>
    <t>П2 1 02 71660</t>
  </si>
  <si>
    <t>5042</t>
  </si>
  <si>
    <t>Основное мероприятие 1.02.                                              "Профилактика инфекционных заболеваний, включая иммунопрофилактику"</t>
  </si>
  <si>
    <t xml:space="preserve"> БУЗ Орловской области "НКМЦ им. З.И. Круглой"</t>
  </si>
  <si>
    <t xml:space="preserve">Мероприятие 1.02.01. Приобретение медицинских иммунобиологических препаратов (вакцин) для проведения прививок контингентам, не подлежашим иммунизации в рамках национального календаря профилактических прививок, при обострении эпидемиологической обстановки по инфекциям, управляемые средствами иммунопрофилактики (вирусные гепатиты А и В, корь, краснуха, грипп, менингококковая инфекция, ветряная оспа и др.)                        </t>
  </si>
  <si>
    <t>ампулы</t>
  </si>
  <si>
    <t>Вакцина для профилактики вирусного гепатита А, ампула 0,5 мл/доза</t>
  </si>
  <si>
    <t xml:space="preserve">Вакцина для профилактики вирусного гепатита А, ампула 1,0 мл/доза </t>
  </si>
  <si>
    <t xml:space="preserve">Субсидия бюджетным и автономным учреждениям на реализацию мероприятия "Туберкулез" </t>
  </si>
  <si>
    <t>5043</t>
  </si>
  <si>
    <t>Основное мероприятие  1.02.                                                  "Профилактика инфекционных заболеваний, включая иммунопрофилактику"</t>
  </si>
  <si>
    <t>Учреждение: БУЗ Орловской области "Орловский противотуберкулезный диспансер"</t>
  </si>
  <si>
    <t>Препараты  противотуберкулезные</t>
  </si>
  <si>
    <t>Медицинское оборудование</t>
  </si>
  <si>
    <t xml:space="preserve">физиоаппарат </t>
  </si>
  <si>
    <t>Субсидия бюджетным и автономным учреждениям на реализацию мероприятия "Инфекции, передаваемые половым путем"</t>
  </si>
  <si>
    <t>П2 1 04 71660</t>
  </si>
  <si>
    <t>5045</t>
  </si>
  <si>
    <t>Основное мероприятие 1.04.                                                      "Развитие первичной медико-санитарной помощи, в том числе сельским жителям. Развитие системы раннего выявления заболеваний и патологических состояний и факторов риска их развития, включая  проведение  медицинских осмотров и диспансеризации населения, в том числе у детей"</t>
  </si>
  <si>
    <t xml:space="preserve">набор люмиВеси для выявления антител к tr.pallidum методом иммунофлюресценции (РИФ) </t>
  </si>
  <si>
    <t xml:space="preserve">Сифилис антигенг-кардиолипиновый РМП - антиген кардиолипиновый для реакции микропреципитации </t>
  </si>
  <si>
    <t xml:space="preserve">Субсидия бюджетным и автономным учреждениям на реализацию мероприятия "Психические расстройства" </t>
  </si>
  <si>
    <t>5049</t>
  </si>
  <si>
    <t>Основное мероприятие 1.04.                          "Развитие первичной медико-санитарной помощи, в том числе сельским жителям. Развитие системы раннего выявления заболеваний и патологических состояний и факторов риска их развития, включая  проведение  медицинских осмотров и диспансеризации населения, в том числе у детей"</t>
  </si>
  <si>
    <t>Учреждение: БУЗ Орловской области "Орловский психоневрологический диспансер"</t>
  </si>
  <si>
    <t xml:space="preserve">ноутбук </t>
  </si>
  <si>
    <t xml:space="preserve"> принтер  </t>
  </si>
  <si>
    <t xml:space="preserve"> наушники </t>
  </si>
  <si>
    <t xml:space="preserve"> набор экспериментально-психологических методик  </t>
  </si>
  <si>
    <t xml:space="preserve">магнитола с возможностью записи и воспроизведения аудиосигнала  </t>
  </si>
  <si>
    <t>Учреждение: БУЗ Орловской области "Орловская областная психиатрическая больница"</t>
  </si>
  <si>
    <t xml:space="preserve">рамки для рентгеновских пленок  </t>
  </si>
  <si>
    <t xml:space="preserve">Субсидия бюджетным и автономным учреждениям на реализацию мероприятия "Сахарный диабет"  </t>
  </si>
  <si>
    <t>5044</t>
  </si>
  <si>
    <t>Основное мероприятие 1.04.                        "Развитие первичной медико-санитарной помощи, в том числе сельским жителям. Развитие системы раннего выявления заболеваний и патологических состояний и факторов риска их развития, включая  проведение  медицинских осмотров и диспансеризации населения, в том числе у детей"</t>
  </si>
  <si>
    <t>226/7660           "Прочие работы, услуги"</t>
  </si>
  <si>
    <t>Трансляция сюжетов по ТВ (1 сюжет в квартал)</t>
  </si>
  <si>
    <t>выпуск</t>
  </si>
  <si>
    <t>П2 1 04 70110</t>
  </si>
  <si>
    <t>5949</t>
  </si>
  <si>
    <t>Основное мероприятие 1.04.                        "Развитие первичной медико-санитарной помощи, в том числе сельским жителям. Развитие системы раннего выявления заболеваний и патологических состояний и факторов риска их развития, включая  проведение  медицинских осмотров и диспансеризации населения,  в том числе у детей"</t>
  </si>
  <si>
    <t>Мероприятие 1.04.05. Приобретение медицинских иммунобиологических препаратов</t>
  </si>
  <si>
    <t>5950</t>
  </si>
  <si>
    <t>БУЗ ОО "Глазуновская центральная районная больница"</t>
  </si>
  <si>
    <t>БУЗ ОО "Городская больница им. С.П. Боткина"</t>
  </si>
  <si>
    <t>БУЗ ОО "Мценская центральная районная больница"</t>
  </si>
  <si>
    <t>БУЗ ОО "Поликлиника № 2"</t>
  </si>
  <si>
    <t xml:space="preserve">Субсидия бюджетным и автономным учреждениям на реализацию мероприятия "Формирование здорового образа жизни у населения Орловской области" </t>
  </si>
  <si>
    <t>П2 1 01 71660</t>
  </si>
  <si>
    <t>5220</t>
  </si>
  <si>
    <t xml:space="preserve">Основное мероприятие  1.01.                           "Развитие  системы  медицинской профилактики неинфекционных заболеваний и формирование здорового образа  жизни, в том числе  у детей. Профилактика зависимости, включая сокращение потребления  табака, алкоголя, наркотических средств, психоактивных веществ, в том числе у детей" </t>
  </si>
  <si>
    <t xml:space="preserve">Тест-полоски для определения холестерина </t>
  </si>
  <si>
    <t>Учреждение: БУЗ Орловской области "Орловский наркологичнский диспансер"</t>
  </si>
  <si>
    <t xml:space="preserve">тест-полоски        </t>
  </si>
  <si>
    <t>52 П 2 01</t>
  </si>
  <si>
    <t>52 П 2 07</t>
  </si>
  <si>
    <t>52 П 2 02</t>
  </si>
  <si>
    <t>52 П2 03</t>
  </si>
  <si>
    <t>52 П2 05</t>
  </si>
  <si>
    <t>52 П 2 09</t>
  </si>
  <si>
    <t>510 013</t>
  </si>
  <si>
    <t>510 012</t>
  </si>
  <si>
    <t>52 П 2 10</t>
  </si>
  <si>
    <t>52 П 2 08</t>
  </si>
  <si>
    <t>52 П 2 12</t>
  </si>
  <si>
    <t>510 009</t>
  </si>
  <si>
    <t>52 П2 06</t>
  </si>
  <si>
    <t>510 011</t>
  </si>
  <si>
    <t>510 010</t>
  </si>
  <si>
    <t>0904</t>
  </si>
  <si>
    <t>530 002</t>
  </si>
  <si>
    <t>П 2 2                07 70110</t>
  </si>
  <si>
    <t>Мероприятие 2.07.0. Приобретение носилок-кресельных для оборудования автомобилей скорой медицинской помощи</t>
  </si>
  <si>
    <t>Приобретение носилок- кресельных</t>
  </si>
  <si>
    <t>Основное мероприятие 2.07. Совершенствование оказания скорой,  в том числе  скорой специализированной, медицинской помощи, медицинской эвакуации</t>
  </si>
  <si>
    <t>52 П 2 15</t>
  </si>
  <si>
    <t>поставка природного газа; транспортировка газа; снабженческо-сбытовые услуги</t>
  </si>
  <si>
    <t>52 П2 14</t>
  </si>
  <si>
    <t>52 П2 13</t>
  </si>
  <si>
    <t>510 002</t>
  </si>
  <si>
    <t>52 П2 11</t>
  </si>
  <si>
    <t>52 П6 03</t>
  </si>
  <si>
    <t>«Анестезиология-реаниматология» 1 чел, "Паллиативная мед.помощь" 1 чел</t>
  </si>
  <si>
    <t xml:space="preserve">Обучение по профилю: психиатрия- 7х15200, </t>
  </si>
  <si>
    <t>52 П2 04</t>
  </si>
  <si>
    <t>Мероприятие 8.02.03. Приобретение медикаментов            для БУЗ ОО «НКМЦ им. З. И. Круглой»</t>
  </si>
  <si>
    <t>БУЗ ОО "Орловский областной центр по профилактике и борьбе со СПИД и инфекционными заболеваниями"</t>
  </si>
  <si>
    <t>18-В02</t>
  </si>
  <si>
    <t xml:space="preserve">Кровь баранья консервированная для реакции связывания комплимента (5 фл по 10 мл в наборе) </t>
  </si>
  <si>
    <t xml:space="preserve">РПГА анти-люис для выявления специфических антител к Tr.pallidum в сыворотке и ликворе реакции пассивной гемаглютинации </t>
  </si>
  <si>
    <t>Субсидия бюджетным и автономным учреждениям здравоохранения на увеличение стоимости основных средств</t>
  </si>
  <si>
    <t xml:space="preserve">811 </t>
  </si>
  <si>
    <t>Основное мероприятие 2.01. Совершенствование оказания медицинской помощи больным туберкулезом</t>
  </si>
  <si>
    <t>Приобретение ДСТ</t>
  </si>
  <si>
    <t>БУЗ ОО "Орловская станция переливания крови"</t>
  </si>
  <si>
    <t>БУЗ ОО "Орловский наркологический диспансер"</t>
  </si>
  <si>
    <t xml:space="preserve">обучение по программе "паллиативная помощь" врач 1 чел.*12000; </t>
  </si>
  <si>
    <t xml:space="preserve">врач анестезиолог-реаниматолог - 16*14100*0,12=27072; врач-бактериолог - 1*12100*0,12=1452, врач клинической лабораторной диагностики - 1*12100*0,12=1452, врач патологоанатомам - 1*14100*0,12=1692, врач рентгенолог - 7*12100*0,12=10164, врач-                           эндоскопист - 1*14100*0,12=1692 </t>
  </si>
  <si>
    <t>врач-рентген.2,0=2904 ; врач клин.лабор.1+1452; врач-эндоск.1,0+1452</t>
  </si>
  <si>
    <t>врач рентгинолог- 1 чел. *(12100 руб.), врач  КДЛ  (12100руб.), врач эндоскопист0,5 (14100 руб.)</t>
  </si>
  <si>
    <t xml:space="preserve">   БУЗ ОО "Детская поликлиника № 2"</t>
  </si>
  <si>
    <t xml:space="preserve"> Донору крови, имеющему редкий фенотип, за 1 донацию крови в объеме 450 (+/-10%) мл -  9% от действующего на дату  сдачи прожиточного минимума трудоспособного населения </t>
  </si>
  <si>
    <t xml:space="preserve">3)Постановление Правительства Орловской области от 22.04.2016 № 135 "Об установлении величины прожиточного минимумав на душу населения и по основным социально-деморографическим группам населения в Орловской области за 1 квартал 2016 года. Прожиточный минимум на душу трудоспособного населения в Орловской области 
</t>
  </si>
  <si>
    <t>Диагностическая иммуноферментная тест-система для одновременного выявления антител к антигенам вируса иммунодефецита человека 1 и 2 типов и антигена ВИЧ 1 (р24) в сыворотке или плазме крови человека для скрининга доноров и верификации ИФА-положительных тестов</t>
  </si>
  <si>
    <t>Всего</t>
  </si>
  <si>
    <t>в том числе:</t>
  </si>
  <si>
    <t>Государственная программа Орловской области "Реализация наказов избирателей депутатам Орловского областного Совета народных депутатов"</t>
  </si>
  <si>
    <t>Размещение рекламы  социального характера (размещение баннера на улицах города)</t>
  </si>
  <si>
    <t>Заключительная дезинфекция в очагах</t>
  </si>
  <si>
    <t xml:space="preserve">Дезсредства  для текущей дезинфекции </t>
  </si>
  <si>
    <t>Приобретение продуктовых наборов для больных туберкулезом</t>
  </si>
  <si>
    <t>340/7660</t>
  </si>
  <si>
    <t>Приобретение гигиенических наборов для больных туберкулезом</t>
  </si>
  <si>
    <t>Компенсация стоимости проезда (кроме такси) до места лечения и обратно гражданам больным туберкулезом</t>
  </si>
  <si>
    <t xml:space="preserve"> Субсидия на выполнение наказов избирателей депутатам Орловского областного Совета народных депутатов</t>
  </si>
  <si>
    <t>Субсидия на выполнение наказов избирателей депутатам Орловского областного Совета народных депутатов</t>
  </si>
  <si>
    <t>ПН20072650</t>
  </si>
  <si>
    <t>530075</t>
  </si>
  <si>
    <t>Подпрограмма 2 "Реализация наказов избирателей депутатам Орловского областного Совета народных депутатов в сфере здравоохранения"</t>
  </si>
  <si>
    <t>БУЗ ОО "НКМЦ ИМ. З. И. КРУГЛОЙ"</t>
  </si>
  <si>
    <t>БУЗ ОО "Больница скорой медицинской помощи им. Н. А. Семашко"</t>
  </si>
  <si>
    <t>Мероприятие 2.13 Приобретение дверей для нужд перинатального центра</t>
  </si>
  <si>
    <t>Мероприятие 2.17 Приобретение компьютерной техники и оргтехники</t>
  </si>
  <si>
    <t>Мероприятие 2.16 Приобретение элементов ограждения периметра</t>
  </si>
  <si>
    <t>Мероприятие 2.23 Капитальный ремонт крыши патологоанатомического корпуса</t>
  </si>
  <si>
    <t>Мероприятие 2.12 Приобретение медицинского оборудования</t>
  </si>
  <si>
    <t>Мероприятие 2.20 Приобретение медицинского оборудования и оргтехники</t>
  </si>
  <si>
    <t>Мероприятие  2.24 Приобретение медицинского оборудования</t>
  </si>
  <si>
    <t>Мероприятие 2.1 Приобретение биохимического анализатора полуавтоматического</t>
  </si>
  <si>
    <t>Мероприятие 2.21 Приобретение оргтехники</t>
  </si>
  <si>
    <t>БУЗ ОО "Орловская областная стоматологическая поликлиника"</t>
  </si>
  <si>
    <t>БУЗ ОО "Поликлиника N5"</t>
  </si>
  <si>
    <t>Мероприятие 2.27 Приобретение медицинского оборудования и компьютерной техники</t>
  </si>
  <si>
    <t>Мероприятие 2.9 Изготовление ограждения территории</t>
  </si>
  <si>
    <t xml:space="preserve">Мероприятие 2.2 Ремонт пандуса поликлиники </t>
  </si>
  <si>
    <t xml:space="preserve">Мероприятие 2.3 Приобретение холодильного оборудования для фельдшерско-акушерских пунктов: Никольского, Куначенского, Речицкого, Екатериновского,Окуново-Горского </t>
  </si>
  <si>
    <t>Мероприятие 2.4 Приобретение легкового автомобиля для обслуживания вызовов на дому участковой службы</t>
  </si>
  <si>
    <t>Мероприятие 2.10 Приобретение легковых автомобилей для обслуживания вызовов на дому и оказания неотложной медицинской помощи</t>
  </si>
  <si>
    <t>Мероприятие 2.11 Замена оконных блоков в Отрадинском фельдшерско-акушерском пункте</t>
  </si>
  <si>
    <t>Мероприятие 2.15 Приобретение медицинского оборудования для филиала</t>
  </si>
  <si>
    <t>Мероприятие 2.26 Приобретение суточного монитора артериального давления</t>
  </si>
  <si>
    <t>Мероприятие 2.5 Текущий ремонт</t>
  </si>
  <si>
    <t>Мероприятие 2.14 Приобретение оборудования</t>
  </si>
  <si>
    <t>Мероприятие 2.18 Обустройство пандуса</t>
  </si>
  <si>
    <t>Мероприятие 2.8 Ремонт лестницы</t>
  </si>
  <si>
    <t>Мероприятие 2.7 Приобретение мебели</t>
  </si>
  <si>
    <t>Мероприятие 2.6 Приобретение и установка оконных блоков</t>
  </si>
  <si>
    <t>Мероприятие 2.19 Приобретение проектора и ноутбука, строительных материалов для проведения ремонта в кабинетах женской консультации</t>
  </si>
  <si>
    <t>Мероприятие 2.22 Приобретение медицинского оборудования для женской консультации</t>
  </si>
  <si>
    <t>Мероприятие 2.25 Приобретение строительных материалов для проведения ремонта</t>
  </si>
  <si>
    <t>Мероприятие 2.28 Приобретение медицинского оборудования</t>
  </si>
  <si>
    <t>Холодильник фармацевтический</t>
  </si>
  <si>
    <t>Анализатор паров этанола в вдыхаемом воздухе</t>
  </si>
  <si>
    <t>Тележка для перевозки больных</t>
  </si>
  <si>
    <t xml:space="preserve">прикроватное кресло с высокими спинками и опускающимися подлокотниками </t>
  </si>
  <si>
    <t xml:space="preserve">ортез для коленного сустава  </t>
  </si>
  <si>
    <t xml:space="preserve">ортез для кисти </t>
  </si>
  <si>
    <t xml:space="preserve">ортез для голеностопного сустава </t>
  </si>
  <si>
    <t xml:space="preserve">регистратор холтеровского мониторирования АД </t>
  </si>
  <si>
    <t xml:space="preserve">регистратор холтеровского мониторирования ЭКГ </t>
  </si>
  <si>
    <t xml:space="preserve">аппарат для лазерной терапии переносной  </t>
  </si>
  <si>
    <t xml:space="preserve">аппарат для вакуум-пресстерапии переносной </t>
  </si>
  <si>
    <t xml:space="preserve">подъемник для больных </t>
  </si>
  <si>
    <t xml:space="preserve">аппарат для активно-пассивной  механотерапии </t>
  </si>
  <si>
    <t xml:space="preserve">монитор больного с расширенными возможностями оценки гемодинамики и дыхания: респирограммы, пульсоксиметрия, капнометрия, неинвазивное и инвазивное измерение артериального давления, электрокардиография с анализом ST-сегмента, сердечного выброса с автоматическим включением сигнала тревоги, возможностью автономной работы  </t>
  </si>
  <si>
    <t xml:space="preserve">портативный элетрокардиограф с вожможностью автономной работы </t>
  </si>
  <si>
    <t xml:space="preserve">дефибриллятор с функцией синхронизации   </t>
  </si>
  <si>
    <t xml:space="preserve">тумба прикроватная </t>
  </si>
  <si>
    <t xml:space="preserve">прикроватный столик  </t>
  </si>
  <si>
    <t xml:space="preserve">энторомат </t>
  </si>
  <si>
    <t xml:space="preserve">автоматический дозатор лекарственных средств шприцевой </t>
  </si>
  <si>
    <t xml:space="preserve">ротатометр с увлажнителем </t>
  </si>
  <si>
    <t xml:space="preserve">тест-полоски для аппарата экстренного определения МНО </t>
  </si>
  <si>
    <t xml:space="preserve">программа когнитивной реабилитации </t>
  </si>
  <si>
    <t xml:space="preserve">портотивный электрокардиограф с вожможностью автономной работы </t>
  </si>
  <si>
    <t xml:space="preserve">Функциональная кровать </t>
  </si>
  <si>
    <t xml:space="preserve">прикроватный столик </t>
  </si>
  <si>
    <t xml:space="preserve">прикроватное кресло </t>
  </si>
  <si>
    <t xml:space="preserve"> прикроватная информационная доска </t>
  </si>
  <si>
    <t xml:space="preserve">ортез для коленного </t>
  </si>
  <si>
    <t xml:space="preserve">аппарат электротерапии </t>
  </si>
  <si>
    <t xml:space="preserve">апаарат для лазерной терапии </t>
  </si>
  <si>
    <t xml:space="preserve">аппарат для активно-пассивной механотерапии </t>
  </si>
  <si>
    <t xml:space="preserve">тележка-каталка для перевозки больных  </t>
  </si>
  <si>
    <t xml:space="preserve">ротатометр </t>
  </si>
  <si>
    <t xml:space="preserve">мобильная реанимационная тележка </t>
  </si>
  <si>
    <t xml:space="preserve">автоматический пневмомассажер конечностей </t>
  </si>
  <si>
    <t xml:space="preserve">Транспорт аппарат ИВЛ </t>
  </si>
  <si>
    <t xml:space="preserve">Функциональная кровать с боковыми стенками 4-х секционная </t>
  </si>
  <si>
    <t>Аппаратно-программный комплекс 
комбинированный: регистратор АД+ЭКГ</t>
  </si>
  <si>
    <t xml:space="preserve">приложение к приказу Департаменту здравоохранения Орловской области </t>
  </si>
  <si>
    <t>№ _________ от "_____"_______________ 201 ___ г.</t>
  </si>
  <si>
    <t>Наименование</t>
  </si>
  <si>
    <t xml:space="preserve"> Экономическое обоснование расходов  </t>
  </si>
  <si>
    <t>Распределение субсидий на иные цели за счет средств областного бюджета в 2018 год и на плановый период 2019 и 2020 годов по подведомственным бюджетным учреждениям здравоохранения</t>
  </si>
  <si>
    <t>БА, рублей</t>
  </si>
  <si>
    <t>ЛБО, рублей</t>
  </si>
  <si>
    <t>Доноры плазмы за одну донацию тромбоцитов в объеме, содержащем не менее 200х10⁹ клеток тромбоцитов -35% от действующего на дату сдачи прожиточного минимума трудоспособного населения</t>
  </si>
  <si>
    <t>Мероприятие 1.03.05 Приобретение детских сухих смесей для детей с перинатальным контактом  по ВИЧ-инфекции</t>
  </si>
  <si>
    <t>Приобретение детских сухих смесей для детей с перинатальным контактом  по ВИЧ-инфекции</t>
  </si>
  <si>
    <t>фл.</t>
  </si>
  <si>
    <r>
      <t xml:space="preserve">Мероприятие 1.03.02.                                                   </t>
    </r>
    <r>
      <rPr>
        <sz val="16"/>
        <rFont val="Times New Roman"/>
        <family val="1"/>
      </rPr>
      <t xml:space="preserve"> Обследование тест-системами, реактивами для проведения входного контроля качества, исследований  оппортунистических инфекцией,     а также исследований в рамках диспансерного наблюдения больных ВИЧ-инфекцией</t>
    </r>
  </si>
  <si>
    <r>
      <t xml:space="preserve">Мероприятие 1.03.03.    </t>
    </r>
    <r>
      <rPr>
        <sz val="16"/>
        <rFont val="Times New Roman"/>
        <family val="1"/>
      </rPr>
      <t xml:space="preserve">                                             Укрепление материально-технической базы. Проведение  ремонта помещений </t>
    </r>
  </si>
  <si>
    <r>
      <t xml:space="preserve">Мероприятие 1.03.04.                                                           </t>
    </r>
    <r>
      <rPr>
        <sz val="16"/>
        <rFont val="Times New Roman"/>
        <family val="1"/>
      </rPr>
      <t>Обеспечение больных ВИЧ-инфекцией антиретровирусными препаратами, а также лекарственными препаратами для лечения оппортунистических заболеваний, побочных действий лекарственных препаратов, гормональными контрацептивами</t>
    </r>
  </si>
  <si>
    <r>
      <t xml:space="preserve">Мероприятие 1.03.01.  </t>
    </r>
    <r>
      <rPr>
        <sz val="16"/>
        <rFont val="Times New Roman"/>
        <family val="1"/>
      </rPr>
      <t xml:space="preserve">                                            Приобретение противовирусных препаратов для органазиции этиотропного лечения, лекарственных средств для коррекции побочных эффектов.                                                     </t>
    </r>
  </si>
  <si>
    <r>
      <t xml:space="preserve">Мероприятие 1.02.02.01.    </t>
    </r>
    <r>
      <rPr>
        <sz val="16"/>
        <rFont val="Times New Roman"/>
        <family val="1"/>
      </rPr>
      <t xml:space="preserve">                             Профилактика туберкулеза в очагах туберкулезной инфекции (обеспечение средствами для проведения дезинфекции)</t>
    </r>
  </si>
  <si>
    <r>
      <t xml:space="preserve">Мероприятие 1.02.02.02.   </t>
    </r>
    <r>
      <rPr>
        <sz val="16"/>
        <rFont val="Times New Roman"/>
        <family val="1"/>
      </rPr>
      <t xml:space="preserve">                                          Санитарно-просветительная работа, организация  месячника противотуберкулезной пропаганды</t>
    </r>
  </si>
  <si>
    <r>
      <t xml:space="preserve">Мероприятие 1.02.02.03.  </t>
    </r>
    <r>
      <rPr>
        <sz val="16"/>
        <rFont val="Times New Roman"/>
        <family val="1"/>
      </rPr>
      <t xml:space="preserve">                                     Обеспечение проведения полного непрерывного курса химиотерапии противотуберкулезными препаратами больных</t>
    </r>
  </si>
  <si>
    <r>
      <t xml:space="preserve">Мероприятие 1.02.02.04.  </t>
    </r>
    <r>
      <rPr>
        <sz val="16"/>
        <rFont val="Times New Roman"/>
        <family val="1"/>
      </rPr>
      <t xml:space="preserve">                                     Оказание социальной поддержки больным туберкулезом</t>
    </r>
  </si>
  <si>
    <r>
      <t xml:space="preserve">Мероприятие 1.02.02.05. </t>
    </r>
    <r>
      <rPr>
        <sz val="16"/>
        <rFont val="Times New Roman"/>
        <family val="1"/>
      </rPr>
      <t>Оплата проезда больных туберкулезом до места лечения и обратно</t>
    </r>
  </si>
  <si>
    <r>
      <rPr>
        <b/>
        <sz val="16"/>
        <rFont val="Times New Roman"/>
        <family val="1"/>
      </rPr>
      <t xml:space="preserve">Мероприятие 1.02.02.06. </t>
    </r>
    <r>
      <rPr>
        <sz val="16"/>
        <rFont val="Times New Roman"/>
        <family val="1"/>
      </rPr>
      <t>Приобретение современного лечебно-диагностического оборудования, диагностических средств</t>
    </r>
  </si>
  <si>
    <r>
      <t xml:space="preserve">Мероприятие 1.04.01.01. </t>
    </r>
    <r>
      <rPr>
        <sz val="16"/>
        <rFont val="Times New Roman"/>
        <family val="1"/>
      </rPr>
      <t>Реализация информационных образовательных и обучающих программ для населения, больных и окружающиз их лиц, в том числе в специально организованных школах</t>
    </r>
  </si>
  <si>
    <r>
      <t>Мероприятие 2.06.03.</t>
    </r>
    <r>
      <rPr>
        <sz val="16"/>
        <rFont val="Times New Roman"/>
        <family val="1"/>
      </rPr>
      <t>Внедрение  новых технологий лечения и профилактики онкологических заболеваний</t>
    </r>
  </si>
  <si>
    <r>
      <t>Мероприятие 2.05.01.                С</t>
    </r>
    <r>
      <rPr>
        <sz val="16"/>
        <rFont val="Times New Roman"/>
        <family val="1"/>
      </rPr>
      <t>овершенствование методов раннего выявления диагностики, лечения и реабилитации при сосудистых заболеваниях. Внедрение первичной профилактики инсульта и инфаркта</t>
    </r>
  </si>
  <si>
    <r>
      <t xml:space="preserve"> Мероприятие 2.05.02</t>
    </r>
    <r>
      <rPr>
        <sz val="16"/>
        <rFont val="Times New Roman"/>
        <family val="1"/>
      </rPr>
      <t xml:space="preserve">.  Укрепление материально-технической базы регионального сосудистого центра на базе БУЗ Орловской области "ООКБ". </t>
    </r>
  </si>
  <si>
    <r>
      <t xml:space="preserve"> Мероприятие 2.05.02.  </t>
    </r>
    <r>
      <rPr>
        <sz val="16"/>
        <rFont val="Times New Roman"/>
        <family val="1"/>
      </rPr>
      <t xml:space="preserve">           Укрепление материально-технической базы первичного сосудистого центра на базе БУЗ Орловской области "Мценская ЦРБ"</t>
    </r>
  </si>
  <si>
    <r>
      <t xml:space="preserve"> Мероприятие 2.05.02.   </t>
    </r>
    <r>
      <rPr>
        <sz val="16"/>
        <rFont val="Times New Roman"/>
        <family val="1"/>
      </rPr>
      <t xml:space="preserve">           Укрепление материально-технической базы первичного сосудистого центра на базе БУЗ Орловской области "Ливенская ЦРБ"</t>
    </r>
  </si>
  <si>
    <r>
      <t xml:space="preserve">Мероприятие 2.05.02. </t>
    </r>
    <r>
      <rPr>
        <sz val="16"/>
        <rFont val="Times New Roman"/>
        <family val="1"/>
      </rPr>
      <t xml:space="preserve"> Укрепление материально-технической базы первичного сосудистого центра на базе БУЗ Орловской области "БСМП им.Н.А.Семашко"</t>
    </r>
  </si>
  <si>
    <r>
      <t xml:space="preserve">Мероприятие 5.02.01.                                                           </t>
    </r>
    <r>
      <rPr>
        <sz val="16"/>
        <rFont val="Times New Roman"/>
        <family val="1"/>
      </rPr>
      <t xml:space="preserve">  Содержание и подготовка к оздоровительной кампании</t>
    </r>
  </si>
  <si>
    <r>
      <t xml:space="preserve">врач-дерматовенеролог-1чел*20000;                       </t>
    </r>
    <r>
      <rPr>
        <b/>
        <sz val="16"/>
        <rFont val="Times New Roman"/>
        <family val="1"/>
      </rPr>
      <t xml:space="preserve">                               </t>
    </r>
  </si>
  <si>
    <r>
      <t xml:space="preserve">2018 год </t>
    </r>
    <r>
      <rPr>
        <sz val="16"/>
        <rFont val="Times New Roman"/>
        <family val="1"/>
      </rPr>
      <t xml:space="preserve"> Бактериология 1*12000=12000, пульмонология - 1*12000=12000; организация здравоохранения 2*18000=36000; стоматология 1*25000=25000; урология - 1*17000=17000; фтизиатрия 1*12000=12000; физиотерапия - 1*14000=14000; управление и экономика фармации -1*4000=4000,                        </t>
    </r>
  </si>
  <si>
    <r>
      <rPr>
        <b/>
        <sz val="16"/>
        <rFont val="Times New Roman"/>
        <family val="1"/>
      </rPr>
      <t>2019 год</t>
    </r>
    <r>
      <rPr>
        <sz val="16"/>
        <rFont val="Times New Roman"/>
        <family val="1"/>
      </rPr>
      <t xml:space="preserve">   Терапия - 1*12000; торакальная хирургия 1*18000=18000; фтизиатрия 2*12000=24000; эпидемиология - 1*12000=12000;  аккредитация врачей - 53*6000= 318000</t>
    </r>
  </si>
  <si>
    <r>
      <rPr>
        <b/>
        <sz val="16"/>
        <rFont val="Times New Roman"/>
        <family val="1"/>
      </rPr>
      <t>2020 год</t>
    </r>
    <r>
      <rPr>
        <sz val="16"/>
        <rFont val="Times New Roman"/>
        <family val="1"/>
      </rPr>
      <t xml:space="preserve"> фтизиатрия - 1*12000=12000, анестезиология-реаниматология - 2*15000=30000, рентгенология - 3*15000=45000, фармацевтическая технология - 2*4000=8000, фармацевтическая химия и фармакогнозия - 1*4000=4000, аккредитация врачей - 58*6000=348000                      </t>
    </r>
  </si>
  <si>
    <r>
      <t xml:space="preserve">Повышение квалификации  по специальности лечебная физкультура и спортивная медицина (2018г: обучение 1 человека - 15 000, </t>
    </r>
    <r>
      <rPr>
        <b/>
        <sz val="16"/>
        <rFont val="Times New Roman"/>
        <family val="1"/>
      </rPr>
      <t>2019г</t>
    </r>
    <r>
      <rPr>
        <sz val="16"/>
        <rFont val="Times New Roman"/>
        <family val="1"/>
      </rPr>
      <t xml:space="preserve">: обучение 1 человека - 17 000, </t>
    </r>
    <r>
      <rPr>
        <b/>
        <sz val="16"/>
        <rFont val="Times New Roman"/>
        <family val="1"/>
      </rPr>
      <t xml:space="preserve">2020г. </t>
    </r>
    <r>
      <rPr>
        <sz val="16"/>
        <rFont val="Times New Roman"/>
        <family val="1"/>
      </rPr>
      <t>- обучение 10 человек*16 000 = 160 000</t>
    </r>
  </si>
  <si>
    <r>
      <t xml:space="preserve">Сертификационный цикл усовершенствования:1врач по "Организации здравоохранения" в </t>
    </r>
    <r>
      <rPr>
        <b/>
        <sz val="16"/>
        <rFont val="Times New Roman"/>
        <family val="1"/>
      </rPr>
      <t>2019г</t>
    </r>
    <r>
      <rPr>
        <sz val="16"/>
        <rFont val="Times New Roman"/>
        <family val="1"/>
      </rPr>
      <t xml:space="preserve">.,2врача "скорая медицинская помощь",1врач "Педиатрия" в </t>
    </r>
    <r>
      <rPr>
        <b/>
        <sz val="16"/>
        <rFont val="Times New Roman"/>
        <family val="1"/>
      </rPr>
      <t>2020г</t>
    </r>
    <r>
      <rPr>
        <sz val="16"/>
        <rFont val="Times New Roman"/>
        <family val="1"/>
      </rPr>
      <t xml:space="preserve">.Стоимость обучения 15000руб. </t>
    </r>
  </si>
  <si>
    <r>
      <rPr>
        <b/>
        <sz val="16"/>
        <rFont val="Times New Roman"/>
        <family val="1"/>
      </rPr>
      <t>2018 г</t>
    </r>
    <r>
      <rPr>
        <sz val="16"/>
        <rFont val="Times New Roman"/>
        <family val="1"/>
      </rPr>
      <t>. повышение квалификации врач-невролог</t>
    </r>
  </si>
  <si>
    <r>
      <rPr>
        <b/>
        <sz val="16"/>
        <rFont val="Times New Roman"/>
        <family val="1"/>
      </rPr>
      <t>2018 г</t>
    </r>
    <r>
      <rPr>
        <sz val="16"/>
        <rFont val="Times New Roman"/>
        <family val="1"/>
      </rPr>
      <t xml:space="preserve">. врачи дерматовенерологи                                    10 чел*20 000=200 000,                                          </t>
    </r>
  </si>
  <si>
    <r>
      <rPr>
        <b/>
        <sz val="16"/>
        <rFont val="Times New Roman"/>
        <family val="1"/>
      </rPr>
      <t>2020 год</t>
    </r>
    <r>
      <rPr>
        <sz val="16"/>
        <rFont val="Times New Roman"/>
        <family val="1"/>
      </rPr>
      <t xml:space="preserve"> Учеба врача- психиатра-16650,00, м/с псхиатрического кабинета-8600,00</t>
    </r>
  </si>
  <si>
    <r>
      <t>Мероприятие 7.04.01. "Установление надбавки стимулирующего характера в размере 12% от должностного оклада по НСОТ</t>
    </r>
    <r>
      <rPr>
        <sz val="16"/>
        <color indexed="10"/>
        <rFont val="Times New Roman"/>
        <family val="1"/>
      </rPr>
      <t xml:space="preserve"> (с 01.01.2017г.)  по основной должности  (без учета внешнего и внутреннего совместительства), </t>
    </r>
    <r>
      <rPr>
        <sz val="16"/>
        <rFont val="Times New Roman"/>
        <family val="1"/>
      </rPr>
      <t xml:space="preserve">   врачам-эндоскопистам, врачам сурдологам-оторингологам, врачам-патологоанатомам, врачам клинической лабораторной диагностики, врачам рентгенологам, врачам анестезиологам-реаниматологам, врачам-неонатологам, врачам-генетикам, врачам-бактериологам в учреждениях здравоохранения, оказывающих первичную медико-санитарную помощь, специализированную, в том числе высокотехнологичную, медицинскую помощь, в том числе специализированную медицинскую помощь"  </t>
    </r>
  </si>
  <si>
    <t xml:space="preserve">Основное мероприятие 1.3.                                     "Профилактика ВИЧ, вирусных гепатитов              В и С" </t>
  </si>
  <si>
    <t xml:space="preserve">Субсидия бюджетным и автономным учреждениям на реализацию мероприятия "Вакцинопрофи-лактика" </t>
  </si>
  <si>
    <t xml:space="preserve">Набор реагентов для выделения гонококов культурным методом </t>
  </si>
  <si>
    <t>ИФА анти-люис М для выявления антител к возбудителю сифилиса (96 определений)</t>
  </si>
  <si>
    <t xml:space="preserve">Сифилис RPR - тест набор реагентов для выявления антител к кардиолипиновому антигену в реакции флокуляции (500 определений) </t>
  </si>
  <si>
    <t xml:space="preserve">Трансляция роликов </t>
  </si>
  <si>
    <t>БУЗ ОО "Городская больница им.С.П.Боткина"</t>
  </si>
  <si>
    <r>
      <rPr>
        <b/>
        <sz val="16"/>
        <rFont val="Times New Roman"/>
        <family val="1"/>
      </rPr>
      <t xml:space="preserve">Мероприятие 1.01.1.2. </t>
    </r>
    <r>
      <rPr>
        <sz val="16"/>
        <rFont val="Times New Roman"/>
        <family val="1"/>
      </rPr>
      <t xml:space="preserve">Приобретение расходных материалов для медицинского оборудования </t>
    </r>
  </si>
  <si>
    <r>
      <t>Мероприятие 1.01.01.</t>
    </r>
    <r>
      <rPr>
        <sz val="16"/>
        <rFont val="Times New Roman"/>
        <family val="1"/>
      </rPr>
      <t xml:space="preserve">Мероприятия, направленные на формирование здорового образа жизни  (приобретение расходных материалов для медицинского оборудования) </t>
    </r>
  </si>
  <si>
    <t xml:space="preserve">Приобретение запасных частей к оборудованию:                 </t>
  </si>
  <si>
    <t>сек.</t>
  </si>
  <si>
    <t xml:space="preserve"> кол-во</t>
  </si>
  <si>
    <t xml:space="preserve">кол-во </t>
  </si>
  <si>
    <t>Трансляция сюжетов по ТВ</t>
  </si>
  <si>
    <t>Аппарат для электромагнитотера-пии</t>
  </si>
  <si>
    <t>массажная кушетка с элетроприводом-</t>
  </si>
  <si>
    <t xml:space="preserve"> электроэнцефалограф-</t>
  </si>
  <si>
    <t xml:space="preserve">тумбы прикроватные - </t>
  </si>
  <si>
    <t xml:space="preserve">кровать функциональная </t>
  </si>
  <si>
    <t xml:space="preserve"> холодильник </t>
  </si>
  <si>
    <t xml:space="preserve">аппарат для электростимуляции переносной </t>
  </si>
  <si>
    <t xml:space="preserve">переносной УФО-аппарат переносной </t>
  </si>
  <si>
    <t xml:space="preserve">компьтерный электороэнцефалограф с возможностью длительного моноторирования электроэнцефалограм-мы и вызванных потенциалов  </t>
  </si>
  <si>
    <t xml:space="preserve">протипролежный матрас </t>
  </si>
  <si>
    <t xml:space="preserve">аппарат для вакуум-пресстерапии </t>
  </si>
  <si>
    <t xml:space="preserve">Противопролежневый матрас </t>
  </si>
  <si>
    <t xml:space="preserve">Моб реаним тележка </t>
  </si>
  <si>
    <t xml:space="preserve">Льготное обеспечение техническими средствами слухопротезирования отдельных категорий граждан (слуховые аппараты)
потребность </t>
  </si>
  <si>
    <t xml:space="preserve">3)Постановление Правительства Орловской области от 22.04.2016 № 135 "Об установлении величины прожиточного минимумав на душу населения и по основным социально-деморографическим группам населения в Орловской области за 1 квартал 2016 года. </t>
  </si>
  <si>
    <t>Финансовое обеспечение закупок диагностических средств для выявления и мониторинга лечения и лечения лиц, инфицированных вирусами иммунодефицита человека и гепатитов B и C</t>
  </si>
  <si>
    <t>БУЗ ОО "Орловский противотуберку-лезный диспансер"</t>
  </si>
  <si>
    <t xml:space="preserve"> БУЗ ОО "Областной психоневрологи-ческий диспансер"</t>
  </si>
  <si>
    <t>врач-анестезиолог-реаниматолог 6чел (14100 руб.),  врач клинической лабораторной диагностики  8 чел. (12100 руб.),                врач-бактериолог 1 чел. (12100 руб.)., врач-патологоанатом 1 чел  (14100руб.),,  врач-эндоскопист  1 чел. (14100 руб.),  врач-неонатолог 3 чел. (14100 руб.),                   врач-рентгенолог              2 чел. (12100 руб.)</t>
  </si>
  <si>
    <t>Субсидия бюджетным и автономым учреждениям здравоохранения на единовременные компенсацион-ные выплаты медицинским работникам  за счет средств областного бюджета</t>
  </si>
  <si>
    <t xml:space="preserve">приобретение тест полосок            </t>
  </si>
  <si>
    <t>Мероприятие 1.04.02.01. Приобретение расходных материалов, тест-систем для лабораторной диагностики ИППП</t>
  </si>
  <si>
    <t>БУЗ ОО ""Орловский областной кожно-венерологический диспансер"</t>
  </si>
  <si>
    <t>Мероприятие  1.04.06. Хранения медицинских иммунобиологических препаратов</t>
  </si>
  <si>
    <r>
      <t xml:space="preserve">Мероприятие 2.06.03. </t>
    </r>
    <r>
      <rPr>
        <sz val="16"/>
        <rFont val="Times New Roman"/>
        <family val="1"/>
      </rPr>
      <t>Ремонт оборудования, приобретение запасных   частей  к оборудованию, расходных материалов для оборудования, реагентов, комплектующих к оборудованию, радиофармецевтических препаратов и вспомогательных материалов</t>
    </r>
  </si>
  <si>
    <t xml:space="preserve">Мероприятие 2.13.03. Формирование и обновление запасов медицинского имущества, средств спасения и оказания медицинской помощи в чрезвычайных ситуациях </t>
  </si>
  <si>
    <r>
      <t>Мероприятие 2.09.05.</t>
    </r>
    <r>
      <rPr>
        <sz val="16"/>
        <rFont val="Times New Roman"/>
        <family val="1"/>
      </rPr>
      <t xml:space="preserve"> Льготное обеспечение техническими средствами слухопротезирования отдельных категорий граждан</t>
    </r>
  </si>
  <si>
    <t>Мероприятие 2.01.04 Закупка диагностических средств для выявления, определения чувствительности микобактерий туберкулеза и мониторинга лечения лиц, больных туберкулезом с множественной лекарственной устойчивостью возбудителя</t>
  </si>
  <si>
    <t>Мероприятие 7.02.01. Подготовка специалистов для учреждений здравоохранения Орловской области по наиболее востребованным специальностям в клинической ординатуре, переподготовка и повышение квалификации медицинских работников по социально значимым специальностям</t>
  </si>
  <si>
    <t>Субсидия бюджетным и автономым учреждениям на реализацию подпрограммы "Кадровое обеспечение системы здравоохране-ния"</t>
  </si>
  <si>
    <t xml:space="preserve">Мероприятие 7.04.03.                           "Единовременная выплата специалистам, трудоустроившимся после целевой подготовки в ВУЗАХ в центральных районных больницах, расположенных в городах Орловской области, обслуживающих сельское население" в размере                           100 000рублей </t>
  </si>
  <si>
    <t>Мероприятие 7.04.04. "Возмещение расходов за найм жилого помещения молодым специалистам, трудоустроившимся в сельской местности, в центральных районных больницах, расположенных в городах, поселках городского типа и обслуживающих сельское население" в размере 5 000,0 руб.</t>
  </si>
  <si>
    <r>
      <rPr>
        <b/>
        <sz val="16"/>
        <rFont val="Times New Roman"/>
        <family val="1"/>
      </rPr>
      <t xml:space="preserve">Мероприятие 7.04.06. </t>
    </r>
    <r>
      <rPr>
        <sz val="16"/>
        <rFont val="Times New Roman"/>
        <family val="1"/>
      </rPr>
      <t>Предоставление мер социальной поддержки по оплате жилого помещения и коммунальных услуг специалистам организаций здравоохранения, работающим и проживающим в сельской местности и поселках городского типа</t>
    </r>
  </si>
  <si>
    <t>Медикаменты</t>
  </si>
  <si>
    <t xml:space="preserve"> Гемолитическая сыворотка для РСК (10 ампул по 1)</t>
  </si>
  <si>
    <t xml:space="preserve">БУЗ ОО "Научно-клинический многопрофильный центр медицинской помощи матерям и детям им. З.И. Круглой"                   </t>
  </si>
  <si>
    <t xml:space="preserve"> Субсидии бюджетным и автономным учреждениям здравоохранения, предоставляющим амбулаторную медицинскую помощь, на хранение медицинских иммунобиологи-ческих препаратов</t>
  </si>
  <si>
    <t>Субсидии на реализацию отдельных мероприятий государственной программы Российской Федерации "Развитие здравоохране-ния"</t>
  </si>
  <si>
    <t xml:space="preserve">портативный электрокардиограф </t>
  </si>
  <si>
    <t>1чел.*12мес.*5000руб=60 000руб.</t>
  </si>
  <si>
    <t>Субсидия бюджетным и автономным учрежденим здравоохранения на обеспечение граждан лекарственными препаратами для лечения заболеваний. приводящих к сокращению продолжительности жизни гражданина или его инвалидности</t>
  </si>
  <si>
    <t>510             016</t>
  </si>
  <si>
    <t>Основное мероприятие 8.02.                     "Лекарственное обеспечение граждан с орфанными заболеваниями"</t>
  </si>
  <si>
    <t>П2 8 01 72370</t>
  </si>
  <si>
    <t xml:space="preserve">Субсидия бюджетным и автономным учреждениям здравоохране-ния, предоставляющим амбулаторную медицинскую помощь, на приобретение медицинских иммунобиологи-ческих препаратов  </t>
  </si>
  <si>
    <t>Субсидия бюджетным и автономным учреждениям здравоохранения на обеспечение содержания здания при строительстве многопрофильного медицинского центра БУЗ ОО "Орловская областная клиническая больница"</t>
  </si>
  <si>
    <t>П2 2 09 70110</t>
  </si>
  <si>
    <t>530    010</t>
  </si>
  <si>
    <t xml:space="preserve">Мероприятие 2.09.06 "Текущее содержание многопрофильного медицинского центра                БУЗ ОО "ООКБ" </t>
  </si>
  <si>
    <t>заработная плата и начисления на выплаты по оплате труда</t>
  </si>
  <si>
    <t>отопление</t>
  </si>
  <si>
    <t>техническое обслуживание</t>
  </si>
  <si>
    <t xml:space="preserve">Вакцина для профилактики брюшного тифа   раствор для подкожного введения 0,5 мл/ 1 доза ампулы №10 </t>
  </si>
  <si>
    <t xml:space="preserve">Тест-полоски для глюкометра  </t>
  </si>
  <si>
    <t xml:space="preserve">Сервер </t>
  </si>
  <si>
    <t>Сопровождение средств криптографической защиты информации</t>
  </si>
  <si>
    <t>Обновление СКЗИ (средства криптографической защиты информации) и передачу неисключительных прав на использование лицензионного программного обеспечения</t>
  </si>
  <si>
    <t>Субсидия на проведение капитального ремонта в рамках реализации межведомствен-ной инвестиционной программы</t>
  </si>
  <si>
    <t>П2 4 04 72320</t>
  </si>
  <si>
    <t>530 004</t>
  </si>
  <si>
    <t>1121</t>
  </si>
  <si>
    <t>Основное мероприятие 4.04. Развитие специализированной медицинской помощи детям, включая дооснащение подразделений БУЗ ОО «НКМЦ им. З. И. Круглой» современным оборудованием  и аппаратурой</t>
  </si>
  <si>
    <t>Закупка программно аппаратных комплексов VipNet HW1000</t>
  </si>
  <si>
    <t>Ремонт СКЗИ Тип 2 VipNet Coordinator HW 1000 и другого оборудования</t>
  </si>
  <si>
    <t xml:space="preserve">Расходные материалы для автоматического анализатора для определения скорости оседания эритроцитов                      </t>
  </si>
  <si>
    <t xml:space="preserve">Расходные материалы для анализатора             </t>
  </si>
  <si>
    <t xml:space="preserve"> Реагенты для автоматического анализатора электролитов                                                       </t>
  </si>
  <si>
    <t>Реагенты для автоматического гематологического анализатора</t>
  </si>
  <si>
    <t xml:space="preserve">Расходные материалы для автоматического анализатора газов крови                                             </t>
  </si>
  <si>
    <t xml:space="preserve">Пленка термографическая для принтера </t>
  </si>
  <si>
    <t xml:space="preserve">Расходные материалы для анализатора </t>
  </si>
  <si>
    <t xml:space="preserve">Рентгенографическая пленка                                                                       </t>
  </si>
  <si>
    <t>Комплектующие к оборудованию</t>
  </si>
  <si>
    <t xml:space="preserve"> Реагенты  для проведения исследований                      </t>
  </si>
  <si>
    <t xml:space="preserve">Рентгеновские пленки для принтера                                             </t>
  </si>
  <si>
    <t>Наборы для обслуживания автоматического гематологического анализатора</t>
  </si>
  <si>
    <t>Расходные материалы для электрохирургического аппарата</t>
  </si>
  <si>
    <t>Приобретение медицинского оборудования</t>
  </si>
  <si>
    <t>повышение квалификации по специальностям: Терапия"  1чел.*6709,8руб.; Инфекционные болезни - 1 чел*6500 руб.; фармацевтическая химия и фармакогнозия 1 чел.*6000,0 руб.; основы паллиативной помощи - 2чел.*8790,2 руб.</t>
  </si>
  <si>
    <t xml:space="preserve">касета пластиковая радиографическая  18*24 </t>
  </si>
  <si>
    <t xml:space="preserve">касета пластиковая радиографическая  24*30 </t>
  </si>
  <si>
    <t xml:space="preserve">касета пластиковая радиографическая  30*40 </t>
  </si>
  <si>
    <t>Рециркулятор бактерицидный передвижной</t>
  </si>
  <si>
    <t>Проботборник (аспиратор)</t>
  </si>
  <si>
    <t>Термогигрометр</t>
  </si>
  <si>
    <t>Стол медицинский</t>
  </si>
  <si>
    <t>Стул медицинский</t>
  </si>
  <si>
    <t>Кушетка медицинская</t>
  </si>
  <si>
    <t>Шкаф для уборочного инвентаря</t>
  </si>
  <si>
    <t>Шкаф медицинский металлический двухдверный для одежды</t>
  </si>
  <si>
    <t>возвратили 1 500 000,0 на деп</t>
  </si>
  <si>
    <t>Субсидия на увеличение стоимости основных средств</t>
  </si>
  <si>
    <t>П2 4 01 70110</t>
  </si>
  <si>
    <t>Субсидия на проведение текущего ремонта, производимого учреждением хозяйственным способом</t>
  </si>
  <si>
    <t>П2 4 04 70110</t>
  </si>
  <si>
    <t>530 011</t>
  </si>
  <si>
    <t>Основное мероприятие 4.01. Совершенствование службы родовспоможения и детства Орловской области путем дальнейшего формирования трехуровневой системы оказания медицинской помощи, дальнейшего развития первичной медико-санитарной помощи</t>
  </si>
  <si>
    <t>Вентилятор канальный</t>
  </si>
  <si>
    <t>Клапан воздушный</t>
  </si>
  <si>
    <t>Электропривод с пружинным возвратом</t>
  </si>
  <si>
    <t>Шумоглушитель</t>
  </si>
  <si>
    <t>Канальный нагреватель воздуха</t>
  </si>
  <si>
    <t>Щит автоматики</t>
  </si>
  <si>
    <t>Гибкая вставка</t>
  </si>
  <si>
    <t>Фильтр-бокс</t>
  </si>
  <si>
    <t>ВРУ</t>
  </si>
  <si>
    <t>Щит</t>
  </si>
  <si>
    <t>Мероприятие Переоснащение автономного электроснабжения</t>
  </si>
  <si>
    <t>Переоснащение автономного электроснабжения БУЗ ОО "НКМЦ им. З. И. Круглой" по адресу: г. Орел, ул. Октябряская, д.4</t>
  </si>
  <si>
    <t>Переоснащение автономного электроснабжения БУЗ ОО "НКМЦ им. З. И. Круглой" по адресу: г. Орел, ул. Лескова, д.31</t>
  </si>
  <si>
    <t>Подпрограмма 6  «Оказание паллиативной помощи, в том числе детям»</t>
  </si>
  <si>
    <t xml:space="preserve">П2 6 01 70110 </t>
  </si>
  <si>
    <t>Основное мероприятие 6.01. "Организация  оказания паллиативной помощи, в том числе детям"</t>
  </si>
  <si>
    <t>Субсидии бюджетным учреждениям на иные цели</t>
  </si>
  <si>
    <t>врачам-специалистам</t>
  </si>
  <si>
    <t>48 человек</t>
  </si>
  <si>
    <t>фельдшерам</t>
  </si>
  <si>
    <t>30 человек</t>
  </si>
  <si>
    <t>Мероприятие 7.04.05 Единовременные компенсационные выплаты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 в размере 400 000,0 рублей врачам специалистам и 200 000,0 рублей фельдшерам (софинансирование областного бюджета)</t>
  </si>
  <si>
    <t>18-В02-00005</t>
  </si>
  <si>
    <t>18-В02-00003</t>
  </si>
  <si>
    <t>П2 7 04 R3820</t>
  </si>
  <si>
    <t>18-В02-00001</t>
  </si>
  <si>
    <t xml:space="preserve">Аппарат для роботизированной механотерапии верхних и нихних конечностей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</si>
</sst>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  <numFmt numFmtId="166" formatCode="_(* #,##0.00_);_(* \(#,##0.00\);_(* &quot;-&quot;??_);_(@_)"/>
    <numFmt numFmtId="167" formatCode="_-* #,##0.0_р_._-;\-* #,##0.0_р_._-;_-* &quot;-&quot;?_р_._-;_-@_-"/>
    <numFmt numFmtId="168" formatCode="_-* #,##0.0_р_._-;\-* #,##0.0_р_._-;_-* &quot;-&quot;??_р_._-;_-@_-"/>
    <numFmt numFmtId="169" formatCode="_(* #,##0.0_);_(* \(#,##0.0\);_(* &quot;-&quot;??_);_(@_)"/>
    <numFmt numFmtId="170" formatCode="0.0%"/>
    <numFmt numFmtId="171" formatCode="* #,##0.00&quot;    &quot;;\-* #,##0.00&quot;    &quot;;* \-#&quot;    &quot;;@\ "/>
    <numFmt numFmtId="172" formatCode="_-* #,##0.00&quot;р.&quot;_-;\-* #,##0.00&quot;р.&quot;_-;_-* \-??&quot;р.&quot;_-;_-@_-"/>
    <numFmt numFmtId="173" formatCode="#,##0.00_ ;\-#,##0.00\ "/>
    <numFmt numFmtId="174" formatCode="0.0"/>
    <numFmt numFmtId="175" formatCode="0.000"/>
    <numFmt numFmtId="176" formatCode="#,##0.000"/>
    <numFmt numFmtId="177" formatCode="0.000%"/>
    <numFmt numFmtId="178" formatCode="_-* #,##0\ _₽_-;\-* #,##0\ _₽_-;_-* &quot;-&quot;??\ _₽_-;_-@_-"/>
    <numFmt numFmtId="179" formatCode="[$-FC19]d\ mmmm\ yyyy\ &quot;г.&quot;"/>
    <numFmt numFmtId="180" formatCode="#,##0.00\ _₽"/>
    <numFmt numFmtId="181" formatCode="_-* #,##0.00_р_._-;\-* #,##0.00_р_._-;_-* &quot;-&quot;_р_._-;_-@_-"/>
    <numFmt numFmtId="182" formatCode="_-* #,##0\ _₽_-;\-* #,##0\ _₽_-;_-* &quot;-&quot;\ _₽_-;_-@_-"/>
    <numFmt numFmtId="183" formatCode="0.0000"/>
    <numFmt numFmtId="184" formatCode="_-* #,##0.00_р_._-;\-* #,##0.00_р_._-;_-* \-??_р_._-;_-@_-"/>
    <numFmt numFmtId="185" formatCode="_-* #,##0.0\ _₽_-;\-* #,##0.0\ _₽_-;_-* &quot;-&quot;??\ _₽_-;_-@_-"/>
    <numFmt numFmtId="186" formatCode="_-* #,##0.0\ _₽_-;\-* #,##0.0\ _₽_-;_-* &quot;-&quot;?\ _₽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0"/>
      <name val="Helv"/>
      <family val="0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6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10"/>
      <name val="Calibri"/>
      <family val="2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b/>
      <i/>
      <sz val="16"/>
      <color indexed="10"/>
      <name val="Times New Roman"/>
      <family val="1"/>
    </font>
    <font>
      <sz val="16"/>
      <color indexed="12"/>
      <name val="Times New Roman"/>
      <family val="1"/>
    </font>
    <font>
      <sz val="16"/>
      <color indexed="44"/>
      <name val="Times New Roman"/>
      <family val="1"/>
    </font>
    <font>
      <sz val="16"/>
      <color indexed="17"/>
      <name val="Times New Roman"/>
      <family val="1"/>
    </font>
    <font>
      <b/>
      <u val="single"/>
      <sz val="16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6"/>
      <color indexed="60"/>
      <name val="Times New Roman"/>
      <family val="1"/>
    </font>
    <font>
      <b/>
      <i/>
      <sz val="16"/>
      <color indexed="60"/>
      <name val="Times New Roman"/>
      <family val="1"/>
    </font>
    <font>
      <sz val="16"/>
      <color indexed="60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8000"/>
      <name val="Calibri"/>
      <family val="2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5" tint="-0.24997000396251678"/>
      <name val="Times New Roman"/>
      <family val="1"/>
    </font>
    <font>
      <b/>
      <i/>
      <sz val="16"/>
      <color theme="5" tint="-0.24997000396251678"/>
      <name val="Times New Roman"/>
      <family val="1"/>
    </font>
    <font>
      <sz val="16"/>
      <color theme="5" tint="-0.24997000396251678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8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38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0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0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50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50" fillId="47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50" fillId="4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50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50" fillId="52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50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9" fillId="42" borderId="1" applyNumberFormat="0" applyAlignment="0" applyProtection="0"/>
    <xf numFmtId="0" fontId="9" fillId="4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1" applyNumberFormat="0" applyAlignment="0" applyProtection="0"/>
    <xf numFmtId="0" fontId="16" fillId="11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6" borderId="7" applyNumberForma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9" fillId="42" borderId="8" applyNumberFormat="0" applyAlignment="0" applyProtection="0"/>
    <xf numFmtId="0" fontId="19" fillId="43" borderId="8" applyNumberFormat="0" applyAlignment="0" applyProtection="0"/>
    <xf numFmtId="0" fontId="51" fillId="0" borderId="0">
      <alignment/>
      <protection/>
    </xf>
    <xf numFmtId="0" fontId="4" fillId="0" borderId="0">
      <alignment/>
      <protection/>
    </xf>
    <xf numFmtId="0" fontId="52" fillId="66" borderId="0">
      <alignment/>
      <protection/>
    </xf>
    <xf numFmtId="0" fontId="51" fillId="0" borderId="0">
      <alignment/>
      <protection/>
    </xf>
    <xf numFmtId="0" fontId="20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1" fillId="0" borderId="0" applyNumberFormat="0" applyFill="0" applyBorder="0" applyAlignment="0" applyProtection="0"/>
    <xf numFmtId="0" fontId="51" fillId="67" borderId="0">
      <alignment/>
      <protection/>
    </xf>
    <xf numFmtId="0" fontId="51" fillId="0" borderId="0">
      <alignment wrapText="1"/>
      <protection/>
    </xf>
    <xf numFmtId="0" fontId="51" fillId="0" borderId="0">
      <alignment/>
      <protection/>
    </xf>
    <xf numFmtId="0" fontId="53" fillId="0" borderId="0">
      <alignment horizontal="center" wrapText="1"/>
      <protection/>
    </xf>
    <xf numFmtId="0" fontId="53" fillId="0" borderId="0">
      <alignment horizontal="center"/>
      <protection/>
    </xf>
    <xf numFmtId="0" fontId="51" fillId="0" borderId="0">
      <alignment horizontal="right"/>
      <protection/>
    </xf>
    <xf numFmtId="0" fontId="51" fillId="67" borderId="10">
      <alignment/>
      <protection/>
    </xf>
    <xf numFmtId="0" fontId="51" fillId="0" borderId="11">
      <alignment horizontal="center" vertical="center" wrapText="1"/>
      <protection/>
    </xf>
    <xf numFmtId="0" fontId="51" fillId="67" borderId="12">
      <alignment/>
      <protection/>
    </xf>
    <xf numFmtId="49" fontId="51" fillId="0" borderId="11">
      <alignment horizontal="left" vertical="top" wrapText="1" indent="2"/>
      <protection/>
    </xf>
    <xf numFmtId="49" fontId="51" fillId="0" borderId="11">
      <alignment horizontal="center" vertical="top" shrinkToFit="1"/>
      <protection/>
    </xf>
    <xf numFmtId="4" fontId="51" fillId="0" borderId="11">
      <alignment horizontal="right" vertical="top" shrinkToFit="1"/>
      <protection/>
    </xf>
    <xf numFmtId="10" fontId="51" fillId="0" borderId="11">
      <alignment horizontal="right" vertical="top" shrinkToFit="1"/>
      <protection/>
    </xf>
    <xf numFmtId="0" fontId="51" fillId="67" borderId="12">
      <alignment shrinkToFit="1"/>
      <protection/>
    </xf>
    <xf numFmtId="0" fontId="54" fillId="0" borderId="11">
      <alignment horizontal="left"/>
      <protection/>
    </xf>
    <xf numFmtId="4" fontId="54" fillId="68" borderId="11">
      <alignment horizontal="right" vertical="top" shrinkToFit="1"/>
      <protection/>
    </xf>
    <xf numFmtId="10" fontId="54" fillId="68" borderId="11">
      <alignment horizontal="right" vertical="top" shrinkToFit="1"/>
      <protection/>
    </xf>
    <xf numFmtId="0" fontId="51" fillId="67" borderId="13">
      <alignment/>
      <protection/>
    </xf>
    <xf numFmtId="0" fontId="51" fillId="0" borderId="0">
      <alignment horizontal="left" wrapText="1"/>
      <protection/>
    </xf>
    <xf numFmtId="0" fontId="54" fillId="0" borderId="11">
      <alignment vertical="top" wrapText="1"/>
      <protection/>
    </xf>
    <xf numFmtId="4" fontId="54" fillId="69" borderId="11">
      <alignment horizontal="right" vertical="top" shrinkToFit="1"/>
      <protection/>
    </xf>
    <xf numFmtId="10" fontId="54" fillId="69" borderId="11">
      <alignment horizontal="right" vertical="top" shrinkToFit="1"/>
      <protection/>
    </xf>
    <xf numFmtId="0" fontId="22" fillId="0" borderId="14">
      <alignment vertical="top" wrapText="1"/>
      <protection/>
    </xf>
    <xf numFmtId="0" fontId="51" fillId="67" borderId="12">
      <alignment horizontal="center"/>
      <protection/>
    </xf>
    <xf numFmtId="0" fontId="51" fillId="67" borderId="12">
      <alignment horizontal="center"/>
      <protection/>
    </xf>
    <xf numFmtId="4" fontId="22" fillId="9" borderId="14">
      <alignment horizontal="right" vertical="top" shrinkToFit="1"/>
      <protection/>
    </xf>
    <xf numFmtId="0" fontId="51" fillId="67" borderId="12">
      <alignment horizontal="left"/>
      <protection/>
    </xf>
    <xf numFmtId="0" fontId="51" fillId="67" borderId="12">
      <alignment horizontal="left"/>
      <protection/>
    </xf>
    <xf numFmtId="0" fontId="51" fillId="67" borderId="13">
      <alignment horizontal="center"/>
      <protection/>
    </xf>
    <xf numFmtId="0" fontId="51" fillId="67" borderId="13">
      <alignment horizontal="left"/>
      <protection/>
    </xf>
    <xf numFmtId="0" fontId="54" fillId="0" borderId="11">
      <alignment vertical="top" wrapText="1"/>
      <protection/>
    </xf>
    <xf numFmtId="4" fontId="54" fillId="69" borderId="11">
      <alignment horizontal="right" vertical="top" shrinkToFit="1"/>
      <protection/>
    </xf>
    <xf numFmtId="0" fontId="50" fillId="70" borderId="0" applyNumberFormat="0" applyBorder="0" applyAlignment="0" applyProtection="0"/>
    <xf numFmtId="0" fontId="7" fillId="57" borderId="0" applyNumberFormat="0" applyBorder="0" applyAlignment="0" applyProtection="0"/>
    <xf numFmtId="0" fontId="50" fillId="71" borderId="0" applyNumberFormat="0" applyBorder="0" applyAlignment="0" applyProtection="0"/>
    <xf numFmtId="0" fontId="7" fillId="59" borderId="0" applyNumberFormat="0" applyBorder="0" applyAlignment="0" applyProtection="0"/>
    <xf numFmtId="0" fontId="50" fillId="72" borderId="0" applyNumberFormat="0" applyBorder="0" applyAlignment="0" applyProtection="0"/>
    <xf numFmtId="0" fontId="7" fillId="61" borderId="0" applyNumberFormat="0" applyBorder="0" applyAlignment="0" applyProtection="0"/>
    <xf numFmtId="0" fontId="50" fillId="73" borderId="0" applyNumberFormat="0" applyBorder="0" applyAlignment="0" applyProtection="0"/>
    <xf numFmtId="0" fontId="7" fillId="51" borderId="0" applyNumberFormat="0" applyBorder="0" applyAlignment="0" applyProtection="0"/>
    <xf numFmtId="0" fontId="50" fillId="74" borderId="0" applyNumberFormat="0" applyBorder="0" applyAlignment="0" applyProtection="0"/>
    <xf numFmtId="0" fontId="7" fillId="39" borderId="0" applyNumberFormat="0" applyBorder="0" applyAlignment="0" applyProtection="0"/>
    <xf numFmtId="0" fontId="50" fillId="75" borderId="0" applyNumberFormat="0" applyBorder="0" applyAlignment="0" applyProtection="0"/>
    <xf numFmtId="0" fontId="7" fillId="63" borderId="0" applyNumberFormat="0" applyBorder="0" applyAlignment="0" applyProtection="0"/>
    <xf numFmtId="0" fontId="55" fillId="76" borderId="15" applyNumberFormat="0" applyAlignment="0" applyProtection="0"/>
    <xf numFmtId="0" fontId="16" fillId="11" borderId="1" applyNumberFormat="0" applyAlignment="0" applyProtection="0"/>
    <xf numFmtId="0" fontId="56" fillId="77" borderId="16" applyNumberFormat="0" applyAlignment="0" applyProtection="0"/>
    <xf numFmtId="0" fontId="19" fillId="43" borderId="8" applyNumberFormat="0" applyAlignment="0" applyProtection="0"/>
    <xf numFmtId="0" fontId="57" fillId="77" borderId="15" applyNumberFormat="0" applyAlignment="0" applyProtection="0"/>
    <xf numFmtId="0" fontId="9" fillId="43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2" fontId="2" fillId="0" borderId="0" applyFill="0" applyBorder="0" applyAlignment="0" applyProtection="0"/>
    <xf numFmtId="44" fontId="4" fillId="0" borderId="0" applyFont="0" applyFill="0" applyBorder="0" applyAlignment="0" applyProtection="0"/>
    <xf numFmtId="0" fontId="58" fillId="0" borderId="17" applyNumberFormat="0" applyFill="0" applyAlignment="0" applyProtection="0"/>
    <xf numFmtId="0" fontId="13" fillId="0" borderId="3" applyNumberFormat="0" applyFill="0" applyAlignment="0" applyProtection="0"/>
    <xf numFmtId="0" fontId="59" fillId="0" borderId="18" applyNumberFormat="0" applyFill="0" applyAlignment="0" applyProtection="0"/>
    <xf numFmtId="0" fontId="14" fillId="0" borderId="4" applyNumberFormat="0" applyFill="0" applyAlignment="0" applyProtection="0"/>
    <xf numFmtId="0" fontId="60" fillId="0" borderId="19" applyNumberFormat="0" applyFill="0" applyAlignment="0" applyProtection="0"/>
    <xf numFmtId="0" fontId="15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5" fillId="0" borderId="9" applyNumberFormat="0" applyFill="0" applyAlignment="0" applyProtection="0"/>
    <xf numFmtId="0" fontId="62" fillId="78" borderId="21" applyNumberFormat="0" applyAlignment="0" applyProtection="0"/>
    <xf numFmtId="0" fontId="10" fillId="65" borderId="2" applyNumberFormat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4" fillId="79" borderId="0" applyNumberFormat="0" applyBorder="0" applyAlignment="0" applyProtection="0"/>
    <xf numFmtId="0" fontId="18" fillId="41" borderId="0" applyNumberFormat="0" applyBorder="0" applyAlignment="0" applyProtection="0"/>
    <xf numFmtId="0" fontId="6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6" fillId="80" borderId="0" applyNumberFormat="0" applyBorder="0" applyAlignment="0" applyProtection="0"/>
    <xf numFmtId="0" fontId="8" fillId="5" borderId="0" applyNumberFormat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68" borderId="22" applyNumberFormat="0" applyFont="0" applyAlignment="0" applyProtection="0"/>
    <xf numFmtId="0" fontId="2" fillId="7" borderId="7" applyNumberFormat="0" applyFont="0" applyAlignment="0" applyProtection="0"/>
    <xf numFmtId="9" fontId="1" fillId="0" borderId="0" applyFont="0" applyFill="0" applyBorder="0" applyAlignment="0" applyProtection="0"/>
    <xf numFmtId="0" fontId="68" fillId="0" borderId="23" applyNumberFormat="0" applyFill="0" applyAlignment="0" applyProtection="0"/>
    <xf numFmtId="0" fontId="17" fillId="0" borderId="6" applyNumberFormat="0" applyFill="0" applyAlignment="0" applyProtection="0"/>
    <xf numFmtId="0" fontId="2" fillId="0" borderId="0">
      <alignment/>
      <protection/>
    </xf>
    <xf numFmtId="0" fontId="23" fillId="0" borderId="0">
      <alignment/>
      <protection/>
    </xf>
    <xf numFmtId="0" fontId="6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ill="0" applyBorder="0" applyAlignment="0" applyProtection="0"/>
    <xf numFmtId="166" fontId="2" fillId="0" borderId="0" applyFont="0" applyFill="0" applyBorder="0" applyAlignment="0" applyProtection="0"/>
    <xf numFmtId="171" fontId="65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>
      <alignment/>
      <protection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81" borderId="0" applyNumberFormat="0" applyBorder="0" applyAlignment="0" applyProtection="0"/>
    <xf numFmtId="0" fontId="12" fillId="18" borderId="0" applyNumberFormat="0" applyBorder="0" applyAlignment="0" applyProtection="0"/>
  </cellStyleXfs>
  <cellXfs count="1058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24" xfId="0" applyFont="1" applyBorder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/>
    </xf>
    <xf numFmtId="0" fontId="35" fillId="0" borderId="0" xfId="0" applyFont="1" applyAlignment="1">
      <alignment/>
    </xf>
    <xf numFmtId="4" fontId="34" fillId="0" borderId="0" xfId="0" applyNumberFormat="1" applyFont="1" applyAlignment="1">
      <alignment/>
    </xf>
    <xf numFmtId="0" fontId="34" fillId="0" borderId="0" xfId="0" applyFont="1" applyAlignment="1">
      <alignment vertical="top"/>
    </xf>
    <xf numFmtId="0" fontId="36" fillId="0" borderId="0" xfId="0" applyFont="1" applyAlignment="1">
      <alignment/>
    </xf>
    <xf numFmtId="0" fontId="34" fillId="3" borderId="0" xfId="0" applyFont="1" applyFill="1" applyBorder="1" applyAlignment="1">
      <alignment/>
    </xf>
    <xf numFmtId="0" fontId="34" fillId="3" borderId="0" xfId="0" applyFont="1" applyFill="1" applyAlignment="1">
      <alignment/>
    </xf>
    <xf numFmtId="0" fontId="34" fillId="0" borderId="0" xfId="0" applyFont="1" applyAlignment="1">
      <alignment horizontal="left"/>
    </xf>
    <xf numFmtId="4" fontId="34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left" vertical="center"/>
    </xf>
    <xf numFmtId="0" fontId="34" fillId="18" borderId="0" xfId="0" applyFont="1" applyFill="1" applyAlignment="1">
      <alignment/>
    </xf>
    <xf numFmtId="165" fontId="34" fillId="0" borderId="0" xfId="0" applyNumberFormat="1" applyFont="1" applyAlignment="1">
      <alignment/>
    </xf>
    <xf numFmtId="0" fontId="34" fillId="0" borderId="0" xfId="0" applyFont="1" applyAlignment="1">
      <alignment horizontal="center" vertical="center"/>
    </xf>
    <xf numFmtId="4" fontId="30" fillId="82" borderId="24" xfId="0" applyNumberFormat="1" applyFont="1" applyFill="1" applyBorder="1" applyAlignment="1">
      <alignment horizontal="center" vertical="center"/>
    </xf>
    <xf numFmtId="0" fontId="31" fillId="3" borderId="24" xfId="342" applyFont="1" applyFill="1" applyBorder="1" applyAlignment="1">
      <alignment horizontal="center" vertical="center" wrapText="1"/>
      <protection/>
    </xf>
    <xf numFmtId="165" fontId="31" fillId="3" borderId="24" xfId="342" applyNumberFormat="1" applyFont="1" applyFill="1" applyBorder="1" applyAlignment="1">
      <alignment horizontal="center" vertical="center"/>
      <protection/>
    </xf>
    <xf numFmtId="4" fontId="31" fillId="3" borderId="24" xfId="342" applyNumberFormat="1" applyFont="1" applyFill="1" applyBorder="1" applyAlignment="1">
      <alignment horizontal="center" vertical="center"/>
      <protection/>
    </xf>
    <xf numFmtId="4" fontId="31" fillId="3" borderId="24" xfId="362" applyNumberFormat="1" applyFont="1" applyFill="1" applyBorder="1" applyAlignment="1">
      <alignment horizontal="center" vertical="center" wrapText="1"/>
    </xf>
    <xf numFmtId="165" fontId="29" fillId="3" borderId="24" xfId="342" applyNumberFormat="1" applyFont="1" applyFill="1" applyBorder="1" applyAlignment="1">
      <alignment horizontal="center" vertical="top"/>
      <protection/>
    </xf>
    <xf numFmtId="165" fontId="29" fillId="3" borderId="24" xfId="342" applyNumberFormat="1" applyFont="1" applyFill="1" applyBorder="1" applyAlignment="1">
      <alignment horizontal="center" vertical="center"/>
      <protection/>
    </xf>
    <xf numFmtId="0" fontId="29" fillId="3" borderId="24" xfId="0" applyFont="1" applyFill="1" applyBorder="1" applyAlignment="1">
      <alignment horizontal="center" vertical="top" wrapText="1"/>
    </xf>
    <xf numFmtId="3" fontId="29" fillId="3" borderId="24" xfId="0" applyNumberFormat="1" applyFont="1" applyFill="1" applyBorder="1" applyAlignment="1">
      <alignment horizontal="center" vertical="top"/>
    </xf>
    <xf numFmtId="4" fontId="29" fillId="3" borderId="24" xfId="362" applyNumberFormat="1" applyFont="1" applyFill="1" applyBorder="1" applyAlignment="1">
      <alignment horizontal="center" vertical="top"/>
    </xf>
    <xf numFmtId="165" fontId="31" fillId="3" borderId="24" xfId="362" applyNumberFormat="1" applyFont="1" applyFill="1" applyBorder="1" applyAlignment="1">
      <alignment horizontal="center" vertical="center"/>
    </xf>
    <xf numFmtId="165" fontId="31" fillId="3" borderId="24" xfId="369" applyNumberFormat="1" applyFont="1" applyFill="1" applyBorder="1" applyAlignment="1">
      <alignment horizontal="center" vertical="center"/>
    </xf>
    <xf numFmtId="164" fontId="29" fillId="3" borderId="24" xfId="362" applyFont="1" applyFill="1" applyBorder="1" applyAlignment="1">
      <alignment horizontal="center" vertical="center"/>
    </xf>
    <xf numFmtId="0" fontId="29" fillId="3" borderId="24" xfId="342" applyFont="1" applyFill="1" applyBorder="1" applyAlignment="1">
      <alignment horizontal="center" vertical="center"/>
      <protection/>
    </xf>
    <xf numFmtId="1" fontId="29" fillId="3" borderId="24" xfId="379" applyNumberFormat="1" applyFont="1" applyFill="1" applyBorder="1" applyAlignment="1">
      <alignment horizontal="center" vertical="center"/>
    </xf>
    <xf numFmtId="4" fontId="29" fillId="3" borderId="24" xfId="379" applyNumberFormat="1" applyFont="1" applyFill="1" applyBorder="1" applyAlignment="1">
      <alignment horizontal="center" vertical="center"/>
    </xf>
    <xf numFmtId="0" fontId="29" fillId="3" borderId="24" xfId="342" applyFont="1" applyFill="1" applyBorder="1" applyAlignment="1">
      <alignment horizontal="center" vertical="center" wrapText="1"/>
      <protection/>
    </xf>
    <xf numFmtId="4" fontId="31" fillId="3" borderId="24" xfId="379" applyNumberFormat="1" applyFont="1" applyFill="1" applyBorder="1" applyAlignment="1">
      <alignment horizontal="center" vertical="center"/>
    </xf>
    <xf numFmtId="4" fontId="29" fillId="3" borderId="24" xfId="362" applyNumberFormat="1" applyFont="1" applyFill="1" applyBorder="1" applyAlignment="1">
      <alignment horizontal="center" vertical="center" wrapText="1"/>
    </xf>
    <xf numFmtId="1" fontId="31" fillId="3" borderId="24" xfId="379" applyNumberFormat="1" applyFont="1" applyFill="1" applyBorder="1" applyAlignment="1">
      <alignment horizontal="center" vertical="center"/>
    </xf>
    <xf numFmtId="165" fontId="31" fillId="3" borderId="24" xfId="379" applyNumberFormat="1" applyFont="1" applyFill="1" applyBorder="1" applyAlignment="1">
      <alignment horizontal="center" vertical="center"/>
    </xf>
    <xf numFmtId="165" fontId="29" fillId="3" borderId="24" xfId="379" applyNumberFormat="1" applyFont="1" applyFill="1" applyBorder="1" applyAlignment="1">
      <alignment horizontal="center" vertical="center"/>
    </xf>
    <xf numFmtId="165" fontId="29" fillId="3" borderId="24" xfId="379" applyNumberFormat="1" applyFont="1" applyFill="1" applyBorder="1" applyAlignment="1">
      <alignment horizontal="center" vertical="top"/>
    </xf>
    <xf numFmtId="0" fontId="32" fillId="3" borderId="24" xfId="342" applyFont="1" applyFill="1" applyBorder="1" applyAlignment="1">
      <alignment horizontal="center" vertical="center"/>
      <protection/>
    </xf>
    <xf numFmtId="165" fontId="32" fillId="3" borderId="24" xfId="379" applyNumberFormat="1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top"/>
    </xf>
    <xf numFmtId="4" fontId="33" fillId="3" borderId="24" xfId="0" applyNumberFormat="1" applyFont="1" applyFill="1" applyBorder="1" applyAlignment="1">
      <alignment horizontal="center" vertical="top"/>
    </xf>
    <xf numFmtId="4" fontId="33" fillId="3" borderId="24" xfId="0" applyNumberFormat="1" applyFont="1" applyFill="1" applyBorder="1" applyAlignment="1">
      <alignment horizontal="center" vertical="center"/>
    </xf>
    <xf numFmtId="0" fontId="30" fillId="3" borderId="24" xfId="0" applyFont="1" applyFill="1" applyBorder="1" applyAlignment="1">
      <alignment horizontal="center" vertical="top"/>
    </xf>
    <xf numFmtId="4" fontId="30" fillId="3" borderId="24" xfId="0" applyNumberFormat="1" applyFont="1" applyFill="1" applyBorder="1" applyAlignment="1">
      <alignment horizontal="center" vertical="top"/>
    </xf>
    <xf numFmtId="4" fontId="30" fillId="3" borderId="24" xfId="0" applyNumberFormat="1" applyFont="1" applyFill="1" applyBorder="1" applyAlignment="1">
      <alignment horizontal="center" vertical="center"/>
    </xf>
    <xf numFmtId="4" fontId="29" fillId="3" borderId="24" xfId="369" applyNumberFormat="1" applyFont="1" applyFill="1" applyBorder="1" applyAlignment="1">
      <alignment horizontal="center" vertical="center"/>
    </xf>
    <xf numFmtId="1" fontId="29" fillId="3" borderId="24" xfId="342" applyNumberFormat="1" applyFont="1" applyFill="1" applyBorder="1" applyAlignment="1">
      <alignment horizontal="center" vertical="center"/>
      <protection/>
    </xf>
    <xf numFmtId="4" fontId="29" fillId="3" borderId="24" xfId="342" applyNumberFormat="1" applyFont="1" applyFill="1" applyBorder="1" applyAlignment="1">
      <alignment horizontal="center" vertical="center"/>
      <protection/>
    </xf>
    <xf numFmtId="2" fontId="30" fillId="3" borderId="24" xfId="0" applyNumberFormat="1" applyFont="1" applyFill="1" applyBorder="1" applyAlignment="1">
      <alignment horizontal="center" vertical="center"/>
    </xf>
    <xf numFmtId="2" fontId="29" fillId="3" borderId="24" xfId="342" applyNumberFormat="1" applyFont="1" applyFill="1" applyBorder="1" applyAlignment="1">
      <alignment horizontal="center" vertical="center"/>
      <protection/>
    </xf>
    <xf numFmtId="185" fontId="29" fillId="3" borderId="24" xfId="362" applyNumberFormat="1" applyFont="1" applyFill="1" applyBorder="1" applyAlignment="1">
      <alignment horizontal="center" vertical="center"/>
    </xf>
    <xf numFmtId="164" fontId="29" fillId="3" borderId="24" xfId="362" applyFont="1" applyFill="1" applyBorder="1" applyAlignment="1">
      <alignment horizontal="center" vertical="center" wrapText="1"/>
    </xf>
    <xf numFmtId="4" fontId="30" fillId="3" borderId="24" xfId="362" applyNumberFormat="1" applyFont="1" applyFill="1" applyBorder="1" applyAlignment="1">
      <alignment horizontal="center" vertical="center"/>
    </xf>
    <xf numFmtId="4" fontId="30" fillId="3" borderId="24" xfId="362" applyNumberFormat="1" applyFont="1" applyFill="1" applyBorder="1" applyAlignment="1">
      <alignment horizontal="center" vertical="center" wrapText="1"/>
    </xf>
    <xf numFmtId="164" fontId="30" fillId="3" borderId="24" xfId="362" applyFont="1" applyFill="1" applyBorder="1" applyAlignment="1">
      <alignment horizontal="center" vertical="center"/>
    </xf>
    <xf numFmtId="2" fontId="29" fillId="3" borderId="24" xfId="362" applyNumberFormat="1" applyFont="1" applyFill="1" applyBorder="1" applyAlignment="1" applyProtection="1">
      <alignment horizontal="center" vertical="center" shrinkToFit="1"/>
      <protection/>
    </xf>
    <xf numFmtId="165" fontId="29" fillId="3" borderId="24" xfId="0" applyNumberFormat="1" applyFont="1" applyFill="1" applyBorder="1" applyAlignment="1">
      <alignment horizontal="center" vertical="center" wrapText="1"/>
    </xf>
    <xf numFmtId="173" fontId="29" fillId="3" borderId="24" xfId="362" applyNumberFormat="1" applyFont="1" applyFill="1" applyBorder="1" applyAlignment="1">
      <alignment horizontal="center" vertical="center"/>
    </xf>
    <xf numFmtId="173" fontId="29" fillId="3" borderId="24" xfId="362" applyNumberFormat="1" applyFont="1" applyFill="1" applyBorder="1" applyAlignment="1" applyProtection="1">
      <alignment horizontal="center" vertical="center" shrinkToFit="1"/>
      <protection/>
    </xf>
    <xf numFmtId="165" fontId="29" fillId="3" borderId="24" xfId="362" applyNumberFormat="1" applyFont="1" applyFill="1" applyBorder="1" applyAlignment="1">
      <alignment horizontal="center" vertical="center" wrapText="1"/>
    </xf>
    <xf numFmtId="4" fontId="29" fillId="3" borderId="24" xfId="362" applyNumberFormat="1" applyFont="1" applyFill="1" applyBorder="1" applyAlignment="1" applyProtection="1">
      <alignment horizontal="center" vertical="center" shrinkToFit="1"/>
      <protection/>
    </xf>
    <xf numFmtId="185" fontId="29" fillId="3" borderId="24" xfId="362" applyNumberFormat="1" applyFont="1" applyFill="1" applyBorder="1" applyAlignment="1" applyProtection="1">
      <alignment horizontal="center" vertical="center" shrinkToFit="1"/>
      <protection/>
    </xf>
    <xf numFmtId="2" fontId="31" fillId="3" borderId="24" xfId="362" applyNumberFormat="1" applyFont="1" applyFill="1" applyBorder="1" applyAlignment="1" applyProtection="1">
      <alignment horizontal="center" vertical="center" shrinkToFit="1"/>
      <protection/>
    </xf>
    <xf numFmtId="185" fontId="31" fillId="3" borderId="24" xfId="362" applyNumberFormat="1" applyFont="1" applyFill="1" applyBorder="1" applyAlignment="1">
      <alignment horizontal="center" vertical="center"/>
    </xf>
    <xf numFmtId="173" fontId="31" fillId="3" borderId="24" xfId="362" applyNumberFormat="1" applyFont="1" applyFill="1" applyBorder="1" applyAlignment="1">
      <alignment horizontal="center" vertical="center"/>
    </xf>
    <xf numFmtId="0" fontId="29" fillId="3" borderId="24" xfId="0" applyFont="1" applyFill="1" applyBorder="1" applyAlignment="1">
      <alignment horizontal="left" vertical="center" wrapText="1"/>
    </xf>
    <xf numFmtId="0" fontId="30" fillId="3" borderId="24" xfId="0" applyFont="1" applyFill="1" applyBorder="1" applyAlignment="1">
      <alignment horizontal="left" vertical="center" wrapText="1"/>
    </xf>
    <xf numFmtId="185" fontId="29" fillId="3" borderId="24" xfId="362" applyNumberFormat="1" applyFont="1" applyFill="1" applyBorder="1" applyAlignment="1">
      <alignment horizontal="center" vertical="center" wrapText="1"/>
    </xf>
    <xf numFmtId="164" fontId="29" fillId="3" borderId="24" xfId="362" applyNumberFormat="1" applyFont="1" applyFill="1" applyBorder="1" applyAlignment="1">
      <alignment horizontal="center" vertical="center"/>
    </xf>
    <xf numFmtId="0" fontId="29" fillId="3" borderId="24" xfId="0" applyFont="1" applyFill="1" applyBorder="1" applyAlignment="1">
      <alignment horizontal="left" vertical="top" wrapText="1"/>
    </xf>
    <xf numFmtId="165" fontId="29" fillId="3" borderId="24" xfId="365" applyNumberFormat="1" applyFont="1" applyFill="1" applyBorder="1" applyAlignment="1">
      <alignment horizontal="center" vertical="center"/>
    </xf>
    <xf numFmtId="0" fontId="34" fillId="3" borderId="0" xfId="0" applyFont="1" applyFill="1" applyAlignment="1">
      <alignment horizontal="center"/>
    </xf>
    <xf numFmtId="4" fontId="29" fillId="3" borderId="24" xfId="362" applyNumberFormat="1" applyFont="1" applyFill="1" applyBorder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4" fontId="32" fillId="3" borderId="24" xfId="379" applyNumberFormat="1" applyFont="1" applyFill="1" applyBorder="1" applyAlignment="1">
      <alignment horizontal="center" vertical="center"/>
    </xf>
    <xf numFmtId="4" fontId="31" fillId="3" borderId="24" xfId="362" applyNumberFormat="1" applyFont="1" applyFill="1" applyBorder="1" applyAlignment="1">
      <alignment horizontal="center" vertical="center"/>
    </xf>
    <xf numFmtId="2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83" borderId="0" xfId="0" applyFont="1" applyFill="1" applyAlignment="1">
      <alignment/>
    </xf>
    <xf numFmtId="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4" fontId="31" fillId="84" borderId="24" xfId="0" applyNumberFormat="1" applyFont="1" applyFill="1" applyBorder="1" applyAlignment="1">
      <alignment horizontal="center" vertical="center"/>
    </xf>
    <xf numFmtId="4" fontId="31" fillId="35" borderId="24" xfId="342" applyNumberFormat="1" applyFont="1" applyFill="1" applyBorder="1" applyAlignment="1">
      <alignment horizontal="center" vertical="center" wrapText="1"/>
      <protection/>
    </xf>
    <xf numFmtId="4" fontId="30" fillId="0" borderId="24" xfId="0" applyNumberFormat="1" applyFont="1" applyBorder="1" applyAlignment="1">
      <alignment horizontal="center" vertical="center"/>
    </xf>
    <xf numFmtId="4" fontId="37" fillId="3" borderId="24" xfId="0" applyNumberFormat="1" applyFont="1" applyFill="1" applyBorder="1" applyAlignment="1">
      <alignment horizontal="center" vertical="center"/>
    </xf>
    <xf numFmtId="4" fontId="29" fillId="3" borderId="24" xfId="0" applyNumberFormat="1" applyFont="1" applyFill="1" applyBorder="1" applyAlignment="1">
      <alignment horizontal="center" vertical="center"/>
    </xf>
    <xf numFmtId="4" fontId="71" fillId="0" borderId="24" xfId="0" applyNumberFormat="1" applyFont="1" applyBorder="1" applyAlignment="1">
      <alignment horizontal="center" vertical="center"/>
    </xf>
    <xf numFmtId="4" fontId="37" fillId="34" borderId="24" xfId="0" applyNumberFormat="1" applyFont="1" applyFill="1" applyBorder="1" applyAlignment="1">
      <alignment horizontal="center" vertical="center"/>
    </xf>
    <xf numFmtId="4" fontId="37" fillId="22" borderId="24" xfId="0" applyNumberFormat="1" applyFont="1" applyFill="1" applyBorder="1" applyAlignment="1">
      <alignment horizontal="center" vertical="center"/>
    </xf>
    <xf numFmtId="4" fontId="31" fillId="34" borderId="24" xfId="0" applyNumberFormat="1" applyFont="1" applyFill="1" applyBorder="1" applyAlignment="1">
      <alignment horizontal="center" vertical="center"/>
    </xf>
    <xf numFmtId="4" fontId="30" fillId="0" borderId="24" xfId="0" applyNumberFormat="1" applyFont="1" applyFill="1" applyBorder="1" applyAlignment="1">
      <alignment horizontal="center" vertical="center" wrapText="1"/>
    </xf>
    <xf numFmtId="4" fontId="37" fillId="19" borderId="24" xfId="0" applyNumberFormat="1" applyFont="1" applyFill="1" applyBorder="1" applyAlignment="1">
      <alignment horizontal="center" vertical="center" wrapText="1"/>
    </xf>
    <xf numFmtId="4" fontId="31" fillId="34" borderId="24" xfId="333" applyNumberFormat="1" applyFont="1" applyFill="1" applyBorder="1" applyAlignment="1">
      <alignment horizontal="center" vertical="center" wrapText="1"/>
      <protection/>
    </xf>
    <xf numFmtId="4" fontId="31" fillId="3" borderId="24" xfId="333" applyNumberFormat="1" applyFont="1" applyFill="1" applyBorder="1" applyAlignment="1">
      <alignment horizontal="center" vertical="center" wrapText="1"/>
      <protection/>
    </xf>
    <xf numFmtId="4" fontId="31" fillId="34" borderId="24" xfId="333" applyNumberFormat="1" applyFont="1" applyFill="1" applyBorder="1" applyAlignment="1">
      <alignment horizontal="center" vertical="center"/>
      <protection/>
    </xf>
    <xf numFmtId="4" fontId="31" fillId="3" borderId="24" xfId="333" applyNumberFormat="1" applyFont="1" applyFill="1" applyBorder="1" applyAlignment="1">
      <alignment horizontal="center" vertical="center"/>
      <protection/>
    </xf>
    <xf numFmtId="4" fontId="29" fillId="7" borderId="24" xfId="333" applyNumberFormat="1" applyFont="1" applyFill="1" applyBorder="1" applyAlignment="1">
      <alignment horizontal="center" vertical="center"/>
      <protection/>
    </xf>
    <xf numFmtId="4" fontId="38" fillId="0" borderId="24" xfId="333" applyNumberFormat="1" applyFont="1" applyFill="1" applyBorder="1" applyAlignment="1">
      <alignment horizontal="center" vertical="center"/>
      <protection/>
    </xf>
    <xf numFmtId="4" fontId="72" fillId="0" borderId="24" xfId="333" applyNumberFormat="1" applyFont="1" applyBorder="1" applyAlignment="1">
      <alignment horizontal="center" vertical="center"/>
      <protection/>
    </xf>
    <xf numFmtId="4" fontId="72" fillId="0" borderId="24" xfId="333" applyNumberFormat="1" applyFont="1" applyFill="1" applyBorder="1" applyAlignment="1">
      <alignment horizontal="center" vertical="center"/>
      <protection/>
    </xf>
    <xf numFmtId="4" fontId="29" fillId="0" borderId="24" xfId="333" applyNumberFormat="1" applyFont="1" applyBorder="1" applyAlignment="1">
      <alignment horizontal="center" vertical="center"/>
      <protection/>
    </xf>
    <xf numFmtId="4" fontId="37" fillId="0" borderId="24" xfId="0" applyNumberFormat="1" applyFont="1" applyBorder="1" applyAlignment="1">
      <alignment horizontal="center" vertical="center"/>
    </xf>
    <xf numFmtId="4" fontId="29" fillId="0" borderId="24" xfId="348" applyNumberFormat="1" applyFont="1" applyFill="1" applyBorder="1" applyAlignment="1">
      <alignment horizontal="center" vertical="center" wrapText="1"/>
      <protection/>
    </xf>
    <xf numFmtId="4" fontId="31" fillId="3" borderId="24" xfId="348" applyNumberFormat="1" applyFont="1" applyFill="1" applyBorder="1" applyAlignment="1">
      <alignment horizontal="center" vertical="center" wrapText="1"/>
      <protection/>
    </xf>
    <xf numFmtId="4" fontId="29" fillId="3" borderId="24" xfId="333" applyNumberFormat="1" applyFont="1" applyFill="1" applyBorder="1" applyAlignment="1">
      <alignment horizontal="center" vertical="center" wrapText="1"/>
      <protection/>
    </xf>
    <xf numFmtId="4" fontId="29" fillId="0" borderId="24" xfId="0" applyNumberFormat="1" applyFont="1" applyBorder="1" applyAlignment="1">
      <alignment horizontal="center" vertical="center"/>
    </xf>
    <xf numFmtId="4" fontId="29" fillId="12" borderId="24" xfId="0" applyNumberFormat="1" applyFont="1" applyFill="1" applyBorder="1" applyAlignment="1">
      <alignment horizontal="center" vertical="center"/>
    </xf>
    <xf numFmtId="4" fontId="31" fillId="34" borderId="24" xfId="0" applyNumberFormat="1" applyFont="1" applyFill="1" applyBorder="1" applyAlignment="1">
      <alignment horizontal="center" vertical="center" wrapText="1"/>
    </xf>
    <xf numFmtId="4" fontId="31" fillId="19" borderId="24" xfId="0" applyNumberFormat="1" applyFont="1" applyFill="1" applyBorder="1" applyAlignment="1">
      <alignment horizontal="center" vertical="center" wrapText="1"/>
    </xf>
    <xf numFmtId="4" fontId="31" fillId="19" borderId="24" xfId="342" applyNumberFormat="1" applyFont="1" applyFill="1" applyBorder="1" applyAlignment="1">
      <alignment horizontal="center" vertical="center" wrapText="1"/>
      <protection/>
    </xf>
    <xf numFmtId="4" fontId="31" fillId="0" borderId="24" xfId="342" applyNumberFormat="1" applyFont="1" applyBorder="1" applyAlignment="1">
      <alignment horizontal="center" vertical="center"/>
      <protection/>
    </xf>
    <xf numFmtId="4" fontId="31" fillId="19" borderId="24" xfId="367" applyNumberFormat="1" applyFont="1" applyFill="1" applyBorder="1" applyAlignment="1">
      <alignment horizontal="center" vertical="center"/>
    </xf>
    <xf numFmtId="4" fontId="31" fillId="34" borderId="24" xfId="367" applyNumberFormat="1" applyFont="1" applyFill="1" applyBorder="1" applyAlignment="1">
      <alignment horizontal="center" vertical="center"/>
    </xf>
    <xf numFmtId="4" fontId="29" fillId="7" borderId="24" xfId="367" applyNumberFormat="1" applyFont="1" applyFill="1" applyBorder="1" applyAlignment="1">
      <alignment horizontal="center" vertical="center"/>
    </xf>
    <xf numFmtId="4" fontId="29" fillId="3" borderId="24" xfId="365" applyNumberFormat="1" applyFont="1" applyFill="1" applyBorder="1" applyAlignment="1">
      <alignment horizontal="center" vertical="center"/>
    </xf>
    <xf numFmtId="4" fontId="30" fillId="0" borderId="24" xfId="362" applyNumberFormat="1" applyFont="1" applyBorder="1" applyAlignment="1" applyProtection="1">
      <alignment horizontal="center" vertical="center"/>
      <protection/>
    </xf>
    <xf numFmtId="4" fontId="29" fillId="0" borderId="24" xfId="365" applyNumberFormat="1" applyFont="1" applyFill="1" applyBorder="1" applyAlignment="1">
      <alignment horizontal="center" vertical="center"/>
    </xf>
    <xf numFmtId="4" fontId="29" fillId="0" borderId="24" xfId="369" applyNumberFormat="1" applyFont="1" applyFill="1" applyBorder="1" applyAlignment="1">
      <alignment horizontal="center" vertical="center"/>
    </xf>
    <xf numFmtId="4" fontId="29" fillId="0" borderId="24" xfId="364" applyNumberFormat="1" applyFont="1" applyFill="1" applyBorder="1" applyAlignment="1">
      <alignment horizontal="center" vertical="center"/>
    </xf>
    <xf numFmtId="4" fontId="29" fillId="3" borderId="24" xfId="364" applyNumberFormat="1" applyFont="1" applyFill="1" applyBorder="1" applyAlignment="1">
      <alignment horizontal="center" vertical="center"/>
    </xf>
    <xf numFmtId="4" fontId="31" fillId="21" borderId="24" xfId="0" applyNumberFormat="1" applyFont="1" applyFill="1" applyBorder="1" applyAlignment="1">
      <alignment horizontal="center" vertical="center"/>
    </xf>
    <xf numFmtId="4" fontId="29" fillId="3" borderId="24" xfId="344" applyNumberFormat="1" applyFont="1" applyFill="1" applyBorder="1" applyAlignment="1">
      <alignment horizontal="center" vertical="center" wrapText="1"/>
      <protection/>
    </xf>
    <xf numFmtId="4" fontId="31" fillId="7" borderId="24" xfId="367" applyNumberFormat="1" applyFont="1" applyFill="1" applyBorder="1" applyAlignment="1">
      <alignment horizontal="center" vertical="center"/>
    </xf>
    <xf numFmtId="4" fontId="31" fillId="7" borderId="24" xfId="0" applyNumberFormat="1" applyFont="1" applyFill="1" applyBorder="1" applyAlignment="1">
      <alignment horizontal="center" vertical="center"/>
    </xf>
    <xf numFmtId="4" fontId="30" fillId="14" borderId="24" xfId="0" applyNumberFormat="1" applyFont="1" applyFill="1" applyBorder="1" applyAlignment="1">
      <alignment horizontal="center" vertical="center"/>
    </xf>
    <xf numFmtId="4" fontId="30" fillId="12" borderId="24" xfId="0" applyNumberFormat="1" applyFont="1" applyFill="1" applyBorder="1" applyAlignment="1">
      <alignment horizontal="center" vertical="center"/>
    </xf>
    <xf numFmtId="4" fontId="37" fillId="19" borderId="24" xfId="0" applyNumberFormat="1" applyFont="1" applyFill="1" applyBorder="1" applyAlignment="1">
      <alignment horizontal="center" vertical="center"/>
    </xf>
    <xf numFmtId="4" fontId="29" fillId="3" borderId="24" xfId="342" applyNumberFormat="1" applyFont="1" applyFill="1" applyBorder="1" applyAlignment="1">
      <alignment horizontal="center" vertical="center" wrapText="1"/>
      <protection/>
    </xf>
    <xf numFmtId="4" fontId="29" fillId="0" borderId="24" xfId="342" applyNumberFormat="1" applyFont="1" applyBorder="1" applyAlignment="1">
      <alignment horizontal="center" vertical="center"/>
      <protection/>
    </xf>
    <xf numFmtId="4" fontId="30" fillId="0" borderId="24" xfId="0" applyNumberFormat="1" applyFont="1" applyBorder="1" applyAlignment="1">
      <alignment horizontal="center" vertical="center" wrapText="1"/>
    </xf>
    <xf numFmtId="4" fontId="31" fillId="32" borderId="24" xfId="0" applyNumberFormat="1" applyFont="1" applyFill="1" applyBorder="1" applyAlignment="1">
      <alignment horizontal="center" vertical="center" wrapText="1"/>
    </xf>
    <xf numFmtId="4" fontId="31" fillId="34" borderId="24" xfId="369" applyNumberFormat="1" applyFont="1" applyFill="1" applyBorder="1" applyAlignment="1">
      <alignment horizontal="center" vertical="center"/>
    </xf>
    <xf numFmtId="4" fontId="37" fillId="32" borderId="24" xfId="0" applyNumberFormat="1" applyFont="1" applyFill="1" applyBorder="1" applyAlignment="1">
      <alignment horizontal="center" vertical="center" wrapText="1"/>
    </xf>
    <xf numFmtId="4" fontId="71" fillId="0" borderId="24" xfId="0" applyNumberFormat="1" applyFont="1" applyBorder="1" applyAlignment="1">
      <alignment horizontal="center" vertical="center" wrapText="1"/>
    </xf>
    <xf numFmtId="4" fontId="30" fillId="3" borderId="24" xfId="0" applyNumberFormat="1" applyFont="1" applyFill="1" applyBorder="1" applyAlignment="1">
      <alignment horizontal="center" vertical="center" wrapText="1"/>
    </xf>
    <xf numFmtId="4" fontId="37" fillId="34" borderId="24" xfId="0" applyNumberFormat="1" applyFont="1" applyFill="1" applyBorder="1" applyAlignment="1">
      <alignment horizontal="center" vertical="center" wrapText="1"/>
    </xf>
    <xf numFmtId="4" fontId="31" fillId="15" borderId="24" xfId="342" applyNumberFormat="1" applyFont="1" applyFill="1" applyBorder="1" applyAlignment="1">
      <alignment horizontal="center" vertical="center" wrapText="1"/>
      <protection/>
    </xf>
    <xf numFmtId="0" fontId="31" fillId="0" borderId="24" xfId="342" applyFont="1" applyBorder="1" applyAlignment="1">
      <alignment horizontal="center" vertical="center" wrapText="1"/>
      <protection/>
    </xf>
    <xf numFmtId="165" fontId="31" fillId="0" borderId="24" xfId="342" applyNumberFormat="1" applyFont="1" applyBorder="1" applyAlignment="1">
      <alignment horizontal="center" vertical="center" wrapText="1"/>
      <protection/>
    </xf>
    <xf numFmtId="1" fontId="29" fillId="15" borderId="24" xfId="342" applyNumberFormat="1" applyFont="1" applyFill="1" applyBorder="1" applyAlignment="1">
      <alignment horizontal="center" vertical="center" wrapText="1"/>
      <protection/>
    </xf>
    <xf numFmtId="0" fontId="31" fillId="15" borderId="24" xfId="342" applyFont="1" applyFill="1" applyBorder="1" applyAlignment="1">
      <alignment horizontal="center" vertical="center" wrapText="1"/>
      <protection/>
    </xf>
    <xf numFmtId="165" fontId="29" fillId="15" borderId="24" xfId="342" applyNumberFormat="1" applyFont="1" applyFill="1" applyBorder="1" applyAlignment="1">
      <alignment horizontal="center" vertical="center" wrapText="1"/>
      <protection/>
    </xf>
    <xf numFmtId="0" fontId="31" fillId="34" borderId="24" xfId="342" applyFont="1" applyFill="1" applyBorder="1" applyAlignment="1">
      <alignment horizontal="left" vertical="top" wrapText="1"/>
      <protection/>
    </xf>
    <xf numFmtId="0" fontId="29" fillId="34" borderId="24" xfId="342" applyFont="1" applyFill="1" applyBorder="1" applyAlignment="1">
      <alignment horizontal="center" vertical="top"/>
      <protection/>
    </xf>
    <xf numFmtId="2" fontId="29" fillId="34" borderId="24" xfId="342" applyNumberFormat="1" applyFont="1" applyFill="1" applyBorder="1" applyAlignment="1">
      <alignment horizontal="left" vertical="center"/>
      <protection/>
    </xf>
    <xf numFmtId="0" fontId="31" fillId="34" borderId="24" xfId="342" applyFont="1" applyFill="1" applyBorder="1" applyAlignment="1">
      <alignment horizontal="center" vertical="top"/>
      <protection/>
    </xf>
    <xf numFmtId="0" fontId="29" fillId="3" borderId="24" xfId="342" applyFont="1" applyFill="1" applyBorder="1" applyAlignment="1">
      <alignment horizontal="left" vertical="top" wrapText="1"/>
      <protection/>
    </xf>
    <xf numFmtId="0" fontId="31" fillId="3" borderId="24" xfId="342" applyFont="1" applyFill="1" applyBorder="1" applyAlignment="1">
      <alignment vertical="top" wrapText="1"/>
      <protection/>
    </xf>
    <xf numFmtId="2" fontId="29" fillId="3" borderId="24" xfId="342" applyNumberFormat="1" applyFont="1" applyFill="1" applyBorder="1" applyAlignment="1">
      <alignment horizontal="left" vertical="center" wrapText="1"/>
      <protection/>
    </xf>
    <xf numFmtId="0" fontId="29" fillId="3" borderId="24" xfId="0" applyFont="1" applyFill="1" applyBorder="1" applyAlignment="1">
      <alignment vertical="top" wrapText="1"/>
    </xf>
    <xf numFmtId="0" fontId="29" fillId="3" borderId="24" xfId="342" applyFont="1" applyFill="1" applyBorder="1" applyAlignment="1">
      <alignment horizontal="center" vertical="top" wrapText="1"/>
      <protection/>
    </xf>
    <xf numFmtId="0" fontId="30" fillId="3" borderId="24" xfId="0" applyFont="1" applyFill="1" applyBorder="1" applyAlignment="1">
      <alignment vertical="top" wrapText="1"/>
    </xf>
    <xf numFmtId="0" fontId="30" fillId="0" borderId="24" xfId="0" applyFont="1" applyBorder="1" applyAlignment="1">
      <alignment/>
    </xf>
    <xf numFmtId="0" fontId="31" fillId="84" borderId="24" xfId="0" applyFont="1" applyFill="1" applyBorder="1" applyAlignment="1">
      <alignment horizontal="center" vertical="center"/>
    </xf>
    <xf numFmtId="0" fontId="31" fillId="35" borderId="24" xfId="342" applyFont="1" applyFill="1" applyBorder="1" applyAlignment="1">
      <alignment horizontal="center" vertical="center" wrapText="1"/>
      <protection/>
    </xf>
    <xf numFmtId="165" fontId="31" fillId="34" borderId="24" xfId="342" applyNumberFormat="1" applyFont="1" applyFill="1" applyBorder="1" applyAlignment="1">
      <alignment horizontal="center" vertical="top"/>
      <protection/>
    </xf>
    <xf numFmtId="4" fontId="29" fillId="3" borderId="24" xfId="342" applyNumberFormat="1" applyFont="1" applyFill="1" applyBorder="1" applyAlignment="1">
      <alignment horizontal="center" vertical="top"/>
      <protection/>
    </xf>
    <xf numFmtId="1" fontId="29" fillId="3" borderId="24" xfId="342" applyNumberFormat="1" applyFont="1" applyFill="1" applyBorder="1" applyAlignment="1">
      <alignment horizontal="center" vertical="top"/>
      <protection/>
    </xf>
    <xf numFmtId="165" fontId="31" fillId="3" borderId="24" xfId="342" applyNumberFormat="1" applyFont="1" applyFill="1" applyBorder="1" applyAlignment="1">
      <alignment horizontal="center" vertical="top"/>
      <protection/>
    </xf>
    <xf numFmtId="0" fontId="30" fillId="3" borderId="24" xfId="0" applyFont="1" applyFill="1" applyBorder="1" applyAlignment="1">
      <alignment horizontal="center" vertical="top" wrapText="1"/>
    </xf>
    <xf numFmtId="4" fontId="30" fillId="3" borderId="24" xfId="0" applyNumberFormat="1" applyFont="1" applyFill="1" applyBorder="1" applyAlignment="1">
      <alignment horizontal="center" vertical="top" wrapText="1"/>
    </xf>
    <xf numFmtId="0" fontId="31" fillId="34" borderId="24" xfId="342" applyFont="1" applyFill="1" applyBorder="1" applyAlignment="1">
      <alignment vertical="top" wrapText="1"/>
      <protection/>
    </xf>
    <xf numFmtId="0" fontId="29" fillId="34" borderId="24" xfId="342" applyFont="1" applyFill="1" applyBorder="1" applyAlignment="1">
      <alignment vertical="top"/>
      <protection/>
    </xf>
    <xf numFmtId="0" fontId="29" fillId="0" borderId="24" xfId="342" applyFont="1" applyFill="1" applyBorder="1" applyAlignment="1">
      <alignment horizontal="left" vertical="top" wrapText="1"/>
      <protection/>
    </xf>
    <xf numFmtId="165" fontId="37" fillId="3" borderId="24" xfId="0" applyNumberFormat="1" applyFont="1" applyFill="1" applyBorder="1" applyAlignment="1">
      <alignment horizontal="center" vertical="top"/>
    </xf>
    <xf numFmtId="4" fontId="37" fillId="3" borderId="24" xfId="0" applyNumberFormat="1" applyFont="1" applyFill="1" applyBorder="1" applyAlignment="1">
      <alignment horizontal="center" vertical="top"/>
    </xf>
    <xf numFmtId="165" fontId="37" fillId="3" borderId="24" xfId="0" applyNumberFormat="1" applyFont="1" applyFill="1" applyBorder="1" applyAlignment="1">
      <alignment horizontal="center" vertical="center"/>
    </xf>
    <xf numFmtId="0" fontId="37" fillId="34" borderId="24" xfId="342" applyFont="1" applyFill="1" applyBorder="1" applyAlignment="1">
      <alignment horizontal="left" vertical="top" wrapText="1"/>
      <protection/>
    </xf>
    <xf numFmtId="4" fontId="31" fillId="34" borderId="24" xfId="362" applyNumberFormat="1" applyFont="1" applyFill="1" applyBorder="1" applyAlignment="1">
      <alignment horizontal="center" vertical="center" wrapText="1"/>
    </xf>
    <xf numFmtId="0" fontId="29" fillId="34" borderId="24" xfId="342" applyFont="1" applyFill="1" applyBorder="1" applyAlignment="1">
      <alignment vertical="top" wrapText="1"/>
      <protection/>
    </xf>
    <xf numFmtId="2" fontId="29" fillId="34" borderId="24" xfId="342" applyNumberFormat="1" applyFont="1" applyFill="1" applyBorder="1" applyAlignment="1">
      <alignment horizontal="left" vertical="center" wrapText="1"/>
      <protection/>
    </xf>
    <xf numFmtId="0" fontId="31" fillId="34" borderId="24" xfId="342" applyFont="1" applyFill="1" applyBorder="1" applyAlignment="1">
      <alignment horizontal="center" vertical="top" wrapText="1"/>
      <protection/>
    </xf>
    <xf numFmtId="165" fontId="31" fillId="34" borderId="24" xfId="342" applyNumberFormat="1" applyFont="1" applyFill="1" applyBorder="1" applyAlignment="1">
      <alignment horizontal="center" vertical="center" wrapText="1"/>
      <protection/>
    </xf>
    <xf numFmtId="165" fontId="29" fillId="3" borderId="24" xfId="369" applyNumberFormat="1" applyFont="1" applyFill="1" applyBorder="1" applyAlignment="1">
      <alignment horizontal="center" vertical="top" wrapText="1"/>
    </xf>
    <xf numFmtId="4" fontId="29" fillId="3" borderId="24" xfId="369" applyNumberFormat="1" applyFont="1" applyFill="1" applyBorder="1" applyAlignment="1">
      <alignment horizontal="center" vertical="center" wrapText="1"/>
    </xf>
    <xf numFmtId="0" fontId="31" fillId="3" borderId="24" xfId="342" applyFont="1" applyFill="1" applyBorder="1" applyAlignment="1">
      <alignment horizontal="left" vertical="top" wrapText="1"/>
      <protection/>
    </xf>
    <xf numFmtId="1" fontId="29" fillId="3" borderId="24" xfId="342" applyNumberFormat="1" applyFont="1" applyFill="1" applyBorder="1" applyAlignment="1">
      <alignment horizontal="center" vertical="center" wrapText="1"/>
      <protection/>
    </xf>
    <xf numFmtId="4" fontId="31" fillId="34" borderId="24" xfId="342" applyNumberFormat="1" applyFont="1" applyFill="1" applyBorder="1" applyAlignment="1">
      <alignment horizontal="center" vertical="top" wrapText="1"/>
      <protection/>
    </xf>
    <xf numFmtId="4" fontId="31" fillId="34" borderId="24" xfId="342" applyNumberFormat="1" applyFont="1" applyFill="1" applyBorder="1" applyAlignment="1">
      <alignment horizontal="center" vertical="top"/>
      <protection/>
    </xf>
    <xf numFmtId="2" fontId="29" fillId="34" borderId="24" xfId="342" applyNumberFormat="1" applyFont="1" applyFill="1" applyBorder="1" applyAlignment="1">
      <alignment horizontal="left" vertical="top"/>
      <protection/>
    </xf>
    <xf numFmtId="167" fontId="31" fillId="34" borderId="24" xfId="342" applyNumberFormat="1" applyFont="1" applyFill="1" applyBorder="1" applyAlignment="1">
      <alignment horizontal="center" vertical="top"/>
      <protection/>
    </xf>
    <xf numFmtId="0" fontId="30" fillId="0" borderId="24" xfId="0" applyFont="1" applyBorder="1" applyAlignment="1">
      <alignment horizontal="left" vertical="top" wrapText="1"/>
    </xf>
    <xf numFmtId="2" fontId="29" fillId="3" borderId="24" xfId="342" applyNumberFormat="1" applyFont="1" applyFill="1" applyBorder="1" applyAlignment="1">
      <alignment horizontal="left" vertical="top" wrapText="1"/>
      <protection/>
    </xf>
    <xf numFmtId="0" fontId="30" fillId="3" borderId="24" xfId="0" applyFont="1" applyFill="1" applyBorder="1" applyAlignment="1">
      <alignment horizontal="center" vertical="center"/>
    </xf>
    <xf numFmtId="165" fontId="31" fillId="34" borderId="24" xfId="342" applyNumberFormat="1" applyFont="1" applyFill="1" applyBorder="1" applyAlignment="1">
      <alignment vertical="top" wrapText="1"/>
      <protection/>
    </xf>
    <xf numFmtId="165" fontId="29" fillId="34" borderId="24" xfId="342" applyNumberFormat="1" applyFont="1" applyFill="1" applyBorder="1" applyAlignment="1">
      <alignment vertical="center"/>
      <protection/>
    </xf>
    <xf numFmtId="2" fontId="32" fillId="3" borderId="24" xfId="342" applyNumberFormat="1" applyFont="1" applyFill="1" applyBorder="1" applyAlignment="1">
      <alignment horizontal="left" vertical="center" wrapText="1"/>
      <protection/>
    </xf>
    <xf numFmtId="2" fontId="39" fillId="3" borderId="24" xfId="342" applyNumberFormat="1" applyFont="1" applyFill="1" applyBorder="1" applyAlignment="1">
      <alignment horizontal="left" vertical="center" wrapText="1"/>
      <protection/>
    </xf>
    <xf numFmtId="0" fontId="30" fillId="3" borderId="24" xfId="0" applyFont="1" applyFill="1" applyBorder="1" applyAlignment="1">
      <alignment horizontal="left" vertical="top" wrapText="1"/>
    </xf>
    <xf numFmtId="0" fontId="29" fillId="0" borderId="24" xfId="342" applyFont="1" applyFill="1" applyBorder="1" applyAlignment="1">
      <alignment horizontal="center" vertical="top" wrapText="1"/>
      <protection/>
    </xf>
    <xf numFmtId="0" fontId="30" fillId="0" borderId="24" xfId="0" applyFont="1" applyBorder="1" applyAlignment="1">
      <alignment horizontal="center" vertical="center"/>
    </xf>
    <xf numFmtId="4" fontId="29" fillId="0" borderId="24" xfId="0" applyNumberFormat="1" applyFont="1" applyFill="1" applyBorder="1" applyAlignment="1">
      <alignment horizontal="center" vertical="center"/>
    </xf>
    <xf numFmtId="0" fontId="29" fillId="3" borderId="24" xfId="346" applyFont="1" applyFill="1" applyBorder="1" applyAlignment="1">
      <alignment horizontal="left" vertical="top" wrapText="1"/>
      <protection/>
    </xf>
    <xf numFmtId="185" fontId="30" fillId="3" borderId="24" xfId="362" applyNumberFormat="1" applyFont="1" applyFill="1" applyBorder="1" applyAlignment="1">
      <alignment horizontal="center" vertical="center"/>
    </xf>
    <xf numFmtId="185" fontId="30" fillId="3" borderId="24" xfId="362" applyNumberFormat="1" applyFont="1" applyFill="1" applyBorder="1" applyAlignment="1">
      <alignment horizontal="center" vertical="top" wrapText="1"/>
    </xf>
    <xf numFmtId="185" fontId="30" fillId="3" borderId="24" xfId="362" applyNumberFormat="1" applyFont="1" applyFill="1" applyBorder="1" applyAlignment="1">
      <alignment horizontal="center" vertical="center" wrapText="1"/>
    </xf>
    <xf numFmtId="0" fontId="31" fillId="34" borderId="24" xfId="346" applyFont="1" applyFill="1" applyBorder="1" applyAlignment="1">
      <alignment horizontal="left" vertical="top" wrapText="1"/>
      <protection/>
    </xf>
    <xf numFmtId="0" fontId="29" fillId="34" borderId="24" xfId="341" applyFont="1" applyFill="1" applyBorder="1" applyAlignment="1">
      <alignment horizontal="center" vertical="center" wrapText="1"/>
      <protection/>
    </xf>
    <xf numFmtId="2" fontId="29" fillId="34" borderId="24" xfId="341" applyNumberFormat="1" applyFont="1" applyFill="1" applyBorder="1" applyAlignment="1">
      <alignment horizontal="left" vertical="center" wrapText="1"/>
      <protection/>
    </xf>
    <xf numFmtId="165" fontId="31" fillId="34" borderId="24" xfId="379" applyNumberFormat="1" applyFont="1" applyFill="1" applyBorder="1" applyAlignment="1">
      <alignment horizontal="center" vertical="top"/>
    </xf>
    <xf numFmtId="0" fontId="29" fillId="0" borderId="24" xfId="277" applyNumberFormat="1" applyFont="1" applyBorder="1" applyAlignment="1" applyProtection="1">
      <alignment horizontal="left" vertical="top" wrapText="1"/>
      <protection/>
    </xf>
    <xf numFmtId="0" fontId="29" fillId="3" borderId="24" xfId="0" applyFont="1" applyFill="1" applyBorder="1" applyAlignment="1">
      <alignment horizontal="center" vertical="center" wrapText="1"/>
    </xf>
    <xf numFmtId="0" fontId="31" fillId="3" borderId="24" xfId="0" applyFont="1" applyFill="1" applyBorder="1" applyAlignment="1">
      <alignment horizontal="center" vertical="center" wrapText="1"/>
    </xf>
    <xf numFmtId="0" fontId="29" fillId="0" borderId="24" xfId="277" applyNumberFormat="1" applyFont="1" applyFill="1" applyBorder="1" applyAlignment="1" applyProtection="1">
      <alignment horizontal="left" vertical="top" wrapText="1"/>
      <protection/>
    </xf>
    <xf numFmtId="2" fontId="29" fillId="3" borderId="24" xfId="342" applyNumberFormat="1" applyFont="1" applyFill="1" applyBorder="1" applyAlignment="1">
      <alignment horizontal="left" vertical="center"/>
      <protection/>
    </xf>
    <xf numFmtId="164" fontId="31" fillId="3" borderId="24" xfId="362" applyNumberFormat="1" applyFont="1" applyFill="1" applyBorder="1" applyAlignment="1">
      <alignment horizontal="center" vertical="center" wrapText="1"/>
    </xf>
    <xf numFmtId="165" fontId="30" fillId="3" borderId="24" xfId="0" applyNumberFormat="1" applyFont="1" applyFill="1" applyBorder="1" applyAlignment="1">
      <alignment horizontal="center" vertical="center"/>
    </xf>
    <xf numFmtId="185" fontId="31" fillId="22" borderId="24" xfId="362" applyNumberFormat="1" applyFont="1" applyFill="1" applyBorder="1" applyAlignment="1">
      <alignment horizontal="center" vertical="center" wrapText="1"/>
    </xf>
    <xf numFmtId="185" fontId="31" fillId="22" borderId="24" xfId="362" applyNumberFormat="1" applyFont="1" applyFill="1" applyBorder="1" applyAlignment="1">
      <alignment horizontal="center" vertical="center"/>
    </xf>
    <xf numFmtId="165" fontId="31" fillId="22" borderId="24" xfId="0" applyNumberFormat="1" applyFont="1" applyFill="1" applyBorder="1" applyAlignment="1">
      <alignment horizontal="center" vertical="center" wrapText="1"/>
    </xf>
    <xf numFmtId="165" fontId="37" fillId="22" borderId="24" xfId="0" applyNumberFormat="1" applyFont="1" applyFill="1" applyBorder="1" applyAlignment="1">
      <alignment horizontal="center" vertical="center"/>
    </xf>
    <xf numFmtId="0" fontId="31" fillId="34" borderId="24" xfId="0" applyFont="1" applyFill="1" applyBorder="1" applyAlignment="1">
      <alignment horizontal="left" vertical="top" wrapText="1"/>
    </xf>
    <xf numFmtId="0" fontId="31" fillId="34" borderId="24" xfId="0" applyFont="1" applyFill="1" applyBorder="1" applyAlignment="1">
      <alignment horizontal="center" vertical="top" wrapText="1"/>
    </xf>
    <xf numFmtId="185" fontId="31" fillId="34" borderId="24" xfId="362" applyNumberFormat="1" applyFont="1" applyFill="1" applyBorder="1" applyAlignment="1">
      <alignment horizontal="center" vertical="center" wrapText="1"/>
    </xf>
    <xf numFmtId="185" fontId="31" fillId="34" borderId="24" xfId="362" applyNumberFormat="1" applyFont="1" applyFill="1" applyBorder="1" applyAlignment="1">
      <alignment horizontal="center" vertical="center"/>
    </xf>
    <xf numFmtId="165" fontId="31" fillId="34" borderId="24" xfId="0" applyNumberFormat="1" applyFont="1" applyFill="1" applyBorder="1" applyAlignment="1">
      <alignment horizontal="center" vertical="center" wrapText="1"/>
    </xf>
    <xf numFmtId="165" fontId="31" fillId="34" borderId="24" xfId="0" applyNumberFormat="1" applyFont="1" applyFill="1" applyBorder="1" applyAlignment="1">
      <alignment horizontal="center" vertical="center"/>
    </xf>
    <xf numFmtId="0" fontId="30" fillId="0" borderId="24" xfId="0" applyFont="1" applyBorder="1" applyAlignment="1">
      <alignment horizontal="center" vertical="top" wrapText="1"/>
    </xf>
    <xf numFmtId="0" fontId="31" fillId="19" borderId="24" xfId="333" applyFont="1" applyFill="1" applyBorder="1" applyAlignment="1">
      <alignment horizontal="center" vertical="center" wrapText="1"/>
      <protection/>
    </xf>
    <xf numFmtId="4" fontId="30" fillId="19" borderId="24" xfId="0" applyNumberFormat="1" applyFont="1" applyFill="1" applyBorder="1" applyAlignment="1">
      <alignment horizontal="center" vertical="center" wrapText="1"/>
    </xf>
    <xf numFmtId="0" fontId="37" fillId="34" borderId="24" xfId="333" applyFont="1" applyFill="1" applyBorder="1" applyAlignment="1">
      <alignment vertical="top" wrapText="1"/>
      <protection/>
    </xf>
    <xf numFmtId="0" fontId="31" fillId="34" borderId="24" xfId="333" applyFont="1" applyFill="1" applyBorder="1" applyAlignment="1">
      <alignment horizontal="left" vertical="top" wrapText="1"/>
      <protection/>
    </xf>
    <xf numFmtId="165" fontId="31" fillId="34" borderId="24" xfId="333" applyNumberFormat="1" applyFont="1" applyFill="1" applyBorder="1" applyAlignment="1">
      <alignment vertical="center" wrapText="1"/>
      <protection/>
    </xf>
    <xf numFmtId="4" fontId="31" fillId="34" borderId="24" xfId="333" applyNumberFormat="1" applyFont="1" applyFill="1" applyBorder="1" applyAlignment="1">
      <alignment vertical="center" wrapText="1"/>
      <protection/>
    </xf>
    <xf numFmtId="4" fontId="31" fillId="3" borderId="24" xfId="333" applyNumberFormat="1" applyFont="1" applyFill="1" applyBorder="1" applyAlignment="1">
      <alignment horizontal="center" vertical="top" wrapText="1"/>
      <protection/>
    </xf>
    <xf numFmtId="0" fontId="31" fillId="3" borderId="24" xfId="333" applyFont="1" applyFill="1" applyBorder="1" applyAlignment="1">
      <alignment horizontal="center" vertical="top" wrapText="1"/>
      <protection/>
    </xf>
    <xf numFmtId="0" fontId="29" fillId="3" borderId="24" xfId="333" applyFont="1" applyFill="1" applyBorder="1" applyAlignment="1">
      <alignment horizontal="left" vertical="top" wrapText="1"/>
      <protection/>
    </xf>
    <xf numFmtId="3" fontId="31" fillId="3" borderId="24" xfId="333" applyNumberFormat="1" applyFont="1" applyFill="1" applyBorder="1" applyAlignment="1">
      <alignment horizontal="center" vertical="top" wrapText="1"/>
      <protection/>
    </xf>
    <xf numFmtId="165" fontId="29" fillId="3" borderId="24" xfId="333" applyNumberFormat="1" applyFont="1" applyFill="1" applyBorder="1" applyAlignment="1">
      <alignment horizontal="center" vertical="top" wrapText="1"/>
      <protection/>
    </xf>
    <xf numFmtId="165" fontId="31" fillId="3" borderId="24" xfId="333" applyNumberFormat="1" applyFont="1" applyFill="1" applyBorder="1" applyAlignment="1">
      <alignment vertical="top" wrapText="1"/>
      <protection/>
    </xf>
    <xf numFmtId="4" fontId="31" fillId="3" borderId="24" xfId="333" applyNumberFormat="1" applyFont="1" applyFill="1" applyBorder="1" applyAlignment="1">
      <alignment vertical="top" wrapText="1"/>
      <protection/>
    </xf>
    <xf numFmtId="165" fontId="31" fillId="3" borderId="24" xfId="333" applyNumberFormat="1" applyFont="1" applyFill="1" applyBorder="1" applyAlignment="1">
      <alignment horizontal="center" vertical="top" wrapText="1"/>
      <protection/>
    </xf>
    <xf numFmtId="0" fontId="29" fillId="3" borderId="24" xfId="333" applyFont="1" applyFill="1" applyBorder="1" applyAlignment="1">
      <alignment horizontal="left" vertical="top"/>
      <protection/>
    </xf>
    <xf numFmtId="3" fontId="29" fillId="3" borderId="24" xfId="333" applyNumberFormat="1" applyFont="1" applyFill="1" applyBorder="1" applyAlignment="1">
      <alignment horizontal="center" vertical="center" wrapText="1"/>
      <protection/>
    </xf>
    <xf numFmtId="165" fontId="29" fillId="3" borderId="24" xfId="333" applyNumberFormat="1" applyFont="1" applyFill="1" applyBorder="1" applyAlignment="1">
      <alignment horizontal="center" vertical="center" wrapText="1"/>
      <protection/>
    </xf>
    <xf numFmtId="165" fontId="31" fillId="3" borderId="24" xfId="333" applyNumberFormat="1" applyFont="1" applyFill="1" applyBorder="1" applyAlignment="1">
      <alignment vertical="center" wrapText="1"/>
      <protection/>
    </xf>
    <xf numFmtId="0" fontId="29" fillId="3" borderId="24" xfId="333" applyFont="1" applyFill="1" applyBorder="1" applyAlignment="1">
      <alignment horizontal="center" vertical="top" wrapText="1"/>
      <protection/>
    </xf>
    <xf numFmtId="4" fontId="29" fillId="3" borderId="24" xfId="333" applyNumberFormat="1" applyFont="1" applyFill="1" applyBorder="1" applyAlignment="1">
      <alignment horizontal="center" vertical="top" wrapText="1"/>
      <protection/>
    </xf>
    <xf numFmtId="165" fontId="30" fillId="3" borderId="24" xfId="0" applyNumberFormat="1" applyFont="1" applyFill="1" applyBorder="1" applyAlignment="1">
      <alignment vertical="top"/>
    </xf>
    <xf numFmtId="4" fontId="29" fillId="3" borderId="24" xfId="333" applyNumberFormat="1" applyFont="1" applyFill="1" applyBorder="1" applyAlignment="1">
      <alignment vertical="top" wrapText="1"/>
      <protection/>
    </xf>
    <xf numFmtId="0" fontId="29" fillId="3" borderId="24" xfId="333" applyFont="1" applyFill="1" applyBorder="1" applyAlignment="1">
      <alignment vertical="top" wrapText="1"/>
      <protection/>
    </xf>
    <xf numFmtId="165" fontId="31" fillId="34" borderId="24" xfId="333" applyNumberFormat="1" applyFont="1" applyFill="1" applyBorder="1" applyAlignment="1">
      <alignment horizontal="center" vertical="center"/>
      <protection/>
    </xf>
    <xf numFmtId="165" fontId="31" fillId="34" borderId="24" xfId="333" applyNumberFormat="1" applyFont="1" applyFill="1" applyBorder="1" applyAlignment="1">
      <alignment vertical="center"/>
      <protection/>
    </xf>
    <xf numFmtId="0" fontId="30" fillId="0" borderId="24" xfId="0" applyFont="1" applyBorder="1" applyAlignment="1">
      <alignment vertical="top" wrapText="1"/>
    </xf>
    <xf numFmtId="0" fontId="31" fillId="0" borderId="24" xfId="333" applyFont="1" applyBorder="1" applyAlignment="1">
      <alignment horizontal="left" vertical="top" wrapText="1"/>
      <protection/>
    </xf>
    <xf numFmtId="165" fontId="31" fillId="3" borderId="24" xfId="333" applyNumberFormat="1" applyFont="1" applyFill="1" applyBorder="1" applyAlignment="1">
      <alignment horizontal="left" vertical="center"/>
      <protection/>
    </xf>
    <xf numFmtId="165" fontId="31" fillId="3" borderId="24" xfId="333" applyNumberFormat="1" applyFont="1" applyFill="1" applyBorder="1" applyAlignment="1">
      <alignment horizontal="center" vertical="center"/>
      <protection/>
    </xf>
    <xf numFmtId="165" fontId="31" fillId="3" borderId="24" xfId="333" applyNumberFormat="1" applyFont="1" applyFill="1" applyBorder="1" applyAlignment="1">
      <alignment vertical="center"/>
      <protection/>
    </xf>
    <xf numFmtId="0" fontId="29" fillId="0" borderId="24" xfId="342" applyFont="1" applyBorder="1" applyAlignment="1">
      <alignment horizontal="left" vertical="top" wrapText="1"/>
      <protection/>
    </xf>
    <xf numFmtId="0" fontId="29" fillId="0" borderId="24" xfId="342" applyFont="1" applyBorder="1" applyAlignment="1">
      <alignment horizontal="center" vertical="center" wrapText="1"/>
      <protection/>
    </xf>
    <xf numFmtId="2" fontId="31" fillId="3" borderId="24" xfId="333" applyNumberFormat="1" applyFont="1" applyFill="1" applyBorder="1" applyAlignment="1">
      <alignment horizontal="center" vertical="center" wrapText="1"/>
      <protection/>
    </xf>
    <xf numFmtId="1" fontId="29" fillId="3" borderId="24" xfId="333" applyNumberFormat="1" applyFont="1" applyFill="1" applyBorder="1" applyAlignment="1">
      <alignment horizontal="center" vertical="top"/>
      <protection/>
    </xf>
    <xf numFmtId="2" fontId="29" fillId="3" borderId="24" xfId="333" applyNumberFormat="1" applyFont="1" applyFill="1" applyBorder="1" applyAlignment="1">
      <alignment horizontal="center" vertical="center" wrapText="1"/>
      <protection/>
    </xf>
    <xf numFmtId="4" fontId="29" fillId="3" borderId="24" xfId="333" applyNumberFormat="1" applyFont="1" applyFill="1" applyBorder="1" applyAlignment="1">
      <alignment horizontal="center" vertical="center"/>
      <protection/>
    </xf>
    <xf numFmtId="165" fontId="30" fillId="3" borderId="24" xfId="0" applyNumberFormat="1" applyFont="1" applyFill="1" applyBorder="1" applyAlignment="1">
      <alignment vertical="center"/>
    </xf>
    <xf numFmtId="2" fontId="29" fillId="3" borderId="24" xfId="333" applyNumberFormat="1" applyFont="1" applyFill="1" applyBorder="1" applyAlignment="1">
      <alignment vertical="center"/>
      <protection/>
    </xf>
    <xf numFmtId="0" fontId="31" fillId="7" borderId="24" xfId="333" applyFont="1" applyFill="1" applyBorder="1" applyAlignment="1">
      <alignment horizontal="left" vertical="top" wrapText="1"/>
      <protection/>
    </xf>
    <xf numFmtId="4" fontId="29" fillId="7" borderId="24" xfId="333" applyNumberFormat="1" applyFont="1" applyFill="1" applyBorder="1" applyAlignment="1">
      <alignment horizontal="center" vertical="center" wrapText="1"/>
      <protection/>
    </xf>
    <xf numFmtId="0" fontId="29" fillId="7" borderId="24" xfId="333" applyFont="1" applyFill="1" applyBorder="1" applyAlignment="1">
      <alignment horizontal="center" vertical="top" wrapText="1"/>
      <protection/>
    </xf>
    <xf numFmtId="4" fontId="29" fillId="7" borderId="24" xfId="333" applyNumberFormat="1" applyFont="1" applyFill="1" applyBorder="1" applyAlignment="1">
      <alignment horizontal="center" vertical="top"/>
      <protection/>
    </xf>
    <xf numFmtId="165" fontId="29" fillId="7" borderId="24" xfId="333" applyNumberFormat="1" applyFont="1" applyFill="1" applyBorder="1" applyAlignment="1">
      <alignment vertical="top"/>
      <protection/>
    </xf>
    <xf numFmtId="4" fontId="29" fillId="7" borderId="24" xfId="333" applyNumberFormat="1" applyFont="1" applyFill="1" applyBorder="1" applyAlignment="1">
      <alignment vertical="top"/>
      <protection/>
    </xf>
    <xf numFmtId="3" fontId="38" fillId="0" borderId="24" xfId="333" applyNumberFormat="1" applyFont="1" applyFill="1" applyBorder="1" applyAlignment="1">
      <alignment horizontal="center" vertical="top"/>
      <protection/>
    </xf>
    <xf numFmtId="165" fontId="38" fillId="0" borderId="24" xfId="333" applyNumberFormat="1" applyFont="1" applyFill="1" applyBorder="1" applyAlignment="1">
      <alignment vertical="top"/>
      <protection/>
    </xf>
    <xf numFmtId="3" fontId="38" fillId="0" borderId="24" xfId="333" applyNumberFormat="1" applyFont="1" applyFill="1" applyBorder="1" applyAlignment="1">
      <alignment vertical="top"/>
      <protection/>
    </xf>
    <xf numFmtId="0" fontId="73" fillId="0" borderId="24" xfId="333" applyFont="1" applyFill="1" applyBorder="1" applyAlignment="1">
      <alignment vertical="center" wrapText="1"/>
      <protection/>
    </xf>
    <xf numFmtId="3" fontId="72" fillId="0" borderId="24" xfId="333" applyNumberFormat="1" applyFont="1" applyBorder="1" applyAlignment="1">
      <alignment horizontal="center" vertical="center"/>
      <protection/>
    </xf>
    <xf numFmtId="3" fontId="72" fillId="0" borderId="24" xfId="333" applyNumberFormat="1" applyFont="1" applyFill="1" applyBorder="1" applyAlignment="1">
      <alignment horizontal="center" vertical="center"/>
      <protection/>
    </xf>
    <xf numFmtId="165" fontId="72" fillId="0" borderId="24" xfId="333" applyNumberFormat="1" applyFont="1" applyBorder="1" applyAlignment="1">
      <alignment vertical="center"/>
      <protection/>
    </xf>
    <xf numFmtId="0" fontId="29" fillId="0" borderId="24" xfId="333" applyFont="1" applyFill="1" applyBorder="1" applyAlignment="1">
      <alignment vertical="center" wrapText="1"/>
      <protection/>
    </xf>
    <xf numFmtId="3" fontId="29" fillId="0" borderId="24" xfId="333" applyNumberFormat="1" applyFont="1" applyFill="1" applyBorder="1" applyAlignment="1">
      <alignment horizontal="center" vertical="center"/>
      <protection/>
    </xf>
    <xf numFmtId="3" fontId="29" fillId="0" borderId="24" xfId="333" applyNumberFormat="1" applyFont="1" applyBorder="1" applyAlignment="1">
      <alignment horizontal="center" vertical="center"/>
      <protection/>
    </xf>
    <xf numFmtId="165" fontId="29" fillId="0" borderId="24" xfId="333" applyNumberFormat="1" applyFont="1" applyBorder="1" applyAlignment="1">
      <alignment vertical="center"/>
      <protection/>
    </xf>
    <xf numFmtId="3" fontId="29" fillId="0" borderId="24" xfId="333" applyNumberFormat="1" applyFont="1" applyBorder="1" applyAlignment="1">
      <alignment vertical="center"/>
      <protection/>
    </xf>
    <xf numFmtId="0" fontId="71" fillId="0" borderId="24" xfId="333" applyFont="1" applyFill="1" applyBorder="1" applyAlignment="1">
      <alignment vertical="center" wrapText="1"/>
      <protection/>
    </xf>
    <xf numFmtId="4" fontId="29" fillId="0" borderId="24" xfId="333" applyNumberFormat="1" applyFont="1" applyBorder="1" applyAlignment="1">
      <alignment vertical="center"/>
      <protection/>
    </xf>
    <xf numFmtId="165" fontId="72" fillId="0" borderId="24" xfId="333" applyNumberFormat="1" applyFont="1" applyFill="1" applyBorder="1" applyAlignment="1">
      <alignment vertical="center"/>
      <protection/>
    </xf>
    <xf numFmtId="0" fontId="40" fillId="0" borderId="24" xfId="333" applyFont="1" applyFill="1" applyBorder="1" applyAlignment="1">
      <alignment vertical="center" wrapText="1"/>
      <protection/>
    </xf>
    <xf numFmtId="3" fontId="38" fillId="0" borderId="24" xfId="333" applyNumberFormat="1" applyFont="1" applyFill="1" applyBorder="1" applyAlignment="1">
      <alignment horizontal="center" vertical="center"/>
      <protection/>
    </xf>
    <xf numFmtId="0" fontId="29" fillId="0" borderId="24" xfId="0" applyFont="1" applyFill="1" applyBorder="1" applyAlignment="1">
      <alignment horizontal="center" vertical="top"/>
    </xf>
    <xf numFmtId="1" fontId="29" fillId="0" borderId="24" xfId="333" applyNumberFormat="1" applyFont="1" applyFill="1" applyBorder="1" applyAlignment="1">
      <alignment horizontal="center" vertical="center"/>
      <protection/>
    </xf>
    <xf numFmtId="0" fontId="41" fillId="0" borderId="24" xfId="333" applyFont="1" applyFill="1" applyBorder="1" applyAlignment="1">
      <alignment vertical="center" wrapText="1"/>
      <protection/>
    </xf>
    <xf numFmtId="0" fontId="29" fillId="0" borderId="24" xfId="333" applyFont="1" applyBorder="1" applyAlignment="1">
      <alignment horizontal="center" vertical="top" wrapText="1"/>
      <protection/>
    </xf>
    <xf numFmtId="165" fontId="29" fillId="3" borderId="24" xfId="348" applyNumberFormat="1" applyFont="1" applyFill="1" applyBorder="1" applyAlignment="1">
      <alignment horizontal="center" vertical="center" wrapText="1"/>
      <protection/>
    </xf>
    <xf numFmtId="165" fontId="31" fillId="3" borderId="24" xfId="348" applyNumberFormat="1" applyFont="1" applyFill="1" applyBorder="1" applyAlignment="1">
      <alignment vertical="center" wrapText="1"/>
      <protection/>
    </xf>
    <xf numFmtId="3" fontId="29" fillId="0" borderId="24" xfId="367" applyNumberFormat="1" applyFont="1" applyBorder="1" applyAlignment="1">
      <alignment horizontal="center" vertical="top"/>
    </xf>
    <xf numFmtId="165" fontId="29" fillId="0" borderId="24" xfId="348" applyNumberFormat="1" applyFont="1" applyFill="1" applyBorder="1" applyAlignment="1">
      <alignment horizontal="center" vertical="top" wrapText="1"/>
      <protection/>
    </xf>
    <xf numFmtId="165" fontId="30" fillId="0" borderId="24" xfId="0" applyNumberFormat="1" applyFont="1" applyBorder="1" applyAlignment="1">
      <alignment/>
    </xf>
    <xf numFmtId="4" fontId="29" fillId="0" borderId="24" xfId="348" applyNumberFormat="1" applyFont="1" applyFill="1" applyBorder="1" applyAlignment="1">
      <alignment vertical="center" wrapText="1"/>
      <protection/>
    </xf>
    <xf numFmtId="4" fontId="29" fillId="0" borderId="24" xfId="0" applyNumberFormat="1" applyFont="1" applyBorder="1" applyAlignment="1">
      <alignment vertical="center"/>
    </xf>
    <xf numFmtId="0" fontId="29" fillId="0" borderId="24" xfId="333" applyNumberFormat="1" applyFont="1" applyBorder="1" applyAlignment="1">
      <alignment horizontal="center" vertical="top" wrapText="1"/>
      <protection/>
    </xf>
    <xf numFmtId="4" fontId="29" fillId="0" borderId="24" xfId="375" applyNumberFormat="1" applyFont="1" applyFill="1" applyBorder="1" applyAlignment="1">
      <alignment horizontal="center" vertical="center"/>
    </xf>
    <xf numFmtId="165" fontId="29" fillId="0" borderId="24" xfId="348" applyNumberFormat="1" applyFont="1" applyFill="1" applyBorder="1" applyAlignment="1">
      <alignment vertical="center" wrapText="1"/>
      <protection/>
    </xf>
    <xf numFmtId="165" fontId="29" fillId="3" borderId="24" xfId="333" applyNumberFormat="1" applyFont="1" applyFill="1" applyBorder="1" applyAlignment="1">
      <alignment horizontal="center" vertical="center"/>
      <protection/>
    </xf>
    <xf numFmtId="165" fontId="29" fillId="0" borderId="24" xfId="375" applyNumberFormat="1" applyFont="1" applyFill="1" applyBorder="1" applyAlignment="1">
      <alignment horizontal="center" vertical="center"/>
    </xf>
    <xf numFmtId="165" fontId="39" fillId="0" borderId="24" xfId="0" applyNumberFormat="1" applyFont="1" applyBorder="1" applyAlignment="1">
      <alignment vertical="top"/>
    </xf>
    <xf numFmtId="0" fontId="30" fillId="0" borderId="24" xfId="0" applyFont="1" applyFill="1" applyBorder="1" applyAlignment="1">
      <alignment horizontal="left" vertical="top" wrapText="1"/>
    </xf>
    <xf numFmtId="165" fontId="39" fillId="82" borderId="24" xfId="0" applyNumberFormat="1" applyFont="1" applyFill="1" applyBorder="1" applyAlignment="1">
      <alignment vertical="top"/>
    </xf>
    <xf numFmtId="165" fontId="29" fillId="0" borderId="24" xfId="333" applyNumberFormat="1" applyFont="1" applyBorder="1" applyAlignment="1">
      <alignment horizontal="left" vertical="center" wrapText="1"/>
      <protection/>
    </xf>
    <xf numFmtId="165" fontId="42" fillId="0" borderId="24" xfId="0" applyNumberFormat="1" applyFont="1" applyBorder="1" applyAlignment="1">
      <alignment vertical="top"/>
    </xf>
    <xf numFmtId="0" fontId="29" fillId="0" borderId="24" xfId="333" applyNumberFormat="1" applyFont="1" applyBorder="1" applyAlignment="1">
      <alignment horizontal="left" vertical="top" wrapText="1"/>
      <protection/>
    </xf>
    <xf numFmtId="1" fontId="29" fillId="0" borderId="24" xfId="375" applyNumberFormat="1" applyFont="1" applyFill="1" applyBorder="1" applyAlignment="1">
      <alignment horizontal="center" vertical="top"/>
    </xf>
    <xf numFmtId="4" fontId="29" fillId="0" borderId="24" xfId="375" applyNumberFormat="1" applyFont="1" applyFill="1" applyBorder="1" applyAlignment="1">
      <alignment horizontal="center" vertical="top"/>
    </xf>
    <xf numFmtId="0" fontId="29" fillId="0" borderId="24" xfId="348" applyFont="1" applyFill="1" applyBorder="1" applyAlignment="1">
      <alignment vertical="center" wrapText="1"/>
      <protection/>
    </xf>
    <xf numFmtId="0" fontId="30" fillId="0" borderId="24" xfId="0" applyFont="1" applyBorder="1" applyAlignment="1">
      <alignment horizontal="left" vertical="center" wrapText="1"/>
    </xf>
    <xf numFmtId="3" fontId="31" fillId="0" borderId="24" xfId="348" applyNumberFormat="1" applyFont="1" applyFill="1" applyBorder="1" applyAlignment="1">
      <alignment horizontal="center" vertical="center" wrapText="1"/>
      <protection/>
    </xf>
    <xf numFmtId="165" fontId="31" fillId="0" borderId="24" xfId="348" applyNumberFormat="1" applyFont="1" applyFill="1" applyBorder="1" applyAlignment="1">
      <alignment horizontal="center" vertical="center" wrapText="1"/>
      <protection/>
    </xf>
    <xf numFmtId="165" fontId="31" fillId="3" borderId="24" xfId="348" applyNumberFormat="1" applyFont="1" applyFill="1" applyBorder="1" applyAlignment="1">
      <alignment horizontal="center" vertical="center" wrapText="1"/>
      <protection/>
    </xf>
    <xf numFmtId="0" fontId="29" fillId="3" borderId="24" xfId="333" applyFont="1" applyFill="1" applyBorder="1" applyAlignment="1">
      <alignment horizontal="center" vertical="center"/>
      <protection/>
    </xf>
    <xf numFmtId="3" fontId="29" fillId="3" borderId="24" xfId="348" applyNumberFormat="1" applyFont="1" applyFill="1" applyBorder="1" applyAlignment="1">
      <alignment horizontal="center" vertical="center" wrapText="1"/>
      <protection/>
    </xf>
    <xf numFmtId="165" fontId="30" fillId="3" borderId="24" xfId="362" applyNumberFormat="1" applyFont="1" applyFill="1" applyBorder="1" applyAlignment="1">
      <alignment vertical="center"/>
    </xf>
    <xf numFmtId="43" fontId="29" fillId="3" borderId="24" xfId="362" applyNumberFormat="1" applyFont="1" applyFill="1" applyBorder="1" applyAlignment="1">
      <alignment vertical="center" wrapText="1"/>
    </xf>
    <xf numFmtId="3" fontId="29" fillId="3" borderId="24" xfId="333" applyNumberFormat="1" applyFont="1" applyFill="1" applyBorder="1" applyAlignment="1">
      <alignment horizontal="center" vertical="center"/>
      <protection/>
    </xf>
    <xf numFmtId="43" fontId="29" fillId="3" borderId="24" xfId="362" applyNumberFormat="1" applyFont="1" applyFill="1" applyBorder="1" applyAlignment="1">
      <alignment vertical="center"/>
    </xf>
    <xf numFmtId="0" fontId="31" fillId="34" borderId="24" xfId="333" applyFont="1" applyFill="1" applyBorder="1" applyAlignment="1">
      <alignment vertical="top" wrapText="1"/>
      <protection/>
    </xf>
    <xf numFmtId="0" fontId="29" fillId="34" borderId="24" xfId="333" applyFont="1" applyFill="1" applyBorder="1" applyAlignment="1">
      <alignment horizontal="center" vertical="top" wrapText="1"/>
      <protection/>
    </xf>
    <xf numFmtId="165" fontId="31" fillId="34" borderId="24" xfId="333" applyNumberFormat="1" applyFont="1" applyFill="1" applyBorder="1" applyAlignment="1">
      <alignment horizontal="center" vertical="top"/>
      <protection/>
    </xf>
    <xf numFmtId="0" fontId="37" fillId="3" borderId="24" xfId="333" applyFont="1" applyFill="1" applyBorder="1" applyAlignment="1">
      <alignment vertical="top" wrapText="1"/>
      <protection/>
    </xf>
    <xf numFmtId="0" fontId="31" fillId="3" borderId="24" xfId="333" applyFont="1" applyFill="1" applyBorder="1" applyAlignment="1">
      <alignment vertical="top" wrapText="1"/>
      <protection/>
    </xf>
    <xf numFmtId="4" fontId="31" fillId="3" borderId="24" xfId="373" applyNumberFormat="1" applyFont="1" applyFill="1" applyBorder="1" applyAlignment="1">
      <alignment vertical="top" wrapText="1"/>
    </xf>
    <xf numFmtId="165" fontId="31" fillId="3" borderId="24" xfId="373" applyNumberFormat="1" applyFont="1" applyFill="1" applyBorder="1" applyAlignment="1">
      <alignment vertical="top" wrapText="1"/>
    </xf>
    <xf numFmtId="165" fontId="29" fillId="3" borderId="24" xfId="333" applyNumberFormat="1" applyFont="1" applyFill="1" applyBorder="1" applyAlignment="1">
      <alignment vertical="center"/>
      <protection/>
    </xf>
    <xf numFmtId="4" fontId="29" fillId="3" borderId="24" xfId="333" applyNumberFormat="1" applyFont="1" applyFill="1" applyBorder="1" applyAlignment="1">
      <alignment vertical="center"/>
      <protection/>
    </xf>
    <xf numFmtId="0" fontId="29" fillId="34" borderId="24" xfId="333" applyFont="1" applyFill="1" applyBorder="1" applyAlignment="1">
      <alignment horizontal="center" vertical="top"/>
      <protection/>
    </xf>
    <xf numFmtId="0" fontId="29" fillId="3" borderId="24" xfId="333" applyFont="1" applyFill="1" applyBorder="1" applyAlignment="1">
      <alignment vertical="center" wrapText="1"/>
      <protection/>
    </xf>
    <xf numFmtId="0" fontId="30" fillId="3" borderId="24" xfId="0" applyFont="1" applyFill="1" applyBorder="1" applyAlignment="1">
      <alignment/>
    </xf>
    <xf numFmtId="165" fontId="31" fillId="3" borderId="24" xfId="333" applyNumberFormat="1" applyFont="1" applyFill="1" applyBorder="1" applyAlignment="1">
      <alignment vertical="top"/>
      <protection/>
    </xf>
    <xf numFmtId="3" fontId="29" fillId="3" borderId="24" xfId="333" applyNumberFormat="1" applyFont="1" applyFill="1" applyBorder="1" applyAlignment="1">
      <alignment vertical="center"/>
      <protection/>
    </xf>
    <xf numFmtId="4" fontId="31" fillId="3" borderId="24" xfId="333" applyNumberFormat="1" applyFont="1" applyFill="1" applyBorder="1" applyAlignment="1">
      <alignment vertical="top"/>
      <protection/>
    </xf>
    <xf numFmtId="4" fontId="31" fillId="34" borderId="24" xfId="333" applyNumberFormat="1" applyFont="1" applyFill="1" applyBorder="1" applyAlignment="1">
      <alignment horizontal="center" vertical="top" wrapText="1"/>
      <protection/>
    </xf>
    <xf numFmtId="4" fontId="31" fillId="34" borderId="24" xfId="333" applyNumberFormat="1" applyFont="1" applyFill="1" applyBorder="1" applyAlignment="1">
      <alignment horizontal="center" vertical="top"/>
      <protection/>
    </xf>
    <xf numFmtId="165" fontId="31" fillId="34" borderId="24" xfId="333" applyNumberFormat="1" applyFont="1" applyFill="1" applyBorder="1" applyAlignment="1">
      <alignment vertical="top"/>
      <protection/>
    </xf>
    <xf numFmtId="165" fontId="29" fillId="3" borderId="24" xfId="333" applyNumberFormat="1" applyFont="1" applyFill="1" applyBorder="1" applyAlignment="1">
      <alignment vertical="center" wrapText="1"/>
      <protection/>
    </xf>
    <xf numFmtId="4" fontId="29" fillId="3" borderId="24" xfId="333" applyNumberFormat="1" applyFont="1" applyFill="1" applyBorder="1" applyAlignment="1">
      <alignment vertical="center" wrapText="1"/>
      <protection/>
    </xf>
    <xf numFmtId="4" fontId="31" fillId="34" borderId="24" xfId="333" applyNumberFormat="1" applyFont="1" applyFill="1" applyBorder="1" applyAlignment="1">
      <alignment horizontal="left" vertical="top" wrapText="1"/>
      <protection/>
    </xf>
    <xf numFmtId="165" fontId="31" fillId="34" borderId="24" xfId="333" applyNumberFormat="1" applyFont="1" applyFill="1" applyBorder="1" applyAlignment="1">
      <alignment vertical="top" wrapText="1"/>
      <protection/>
    </xf>
    <xf numFmtId="4" fontId="31" fillId="34" borderId="24" xfId="333" applyNumberFormat="1" applyFont="1" applyFill="1" applyBorder="1" applyAlignment="1">
      <alignment vertical="top" wrapText="1"/>
      <protection/>
    </xf>
    <xf numFmtId="165" fontId="31" fillId="3" borderId="24" xfId="333" applyNumberFormat="1" applyFont="1" applyFill="1" applyBorder="1" applyAlignment="1">
      <alignment horizontal="center" vertical="top"/>
      <protection/>
    </xf>
    <xf numFmtId="0" fontId="29" fillId="3" borderId="24" xfId="0" applyFont="1" applyFill="1" applyBorder="1" applyAlignment="1">
      <alignment vertical="center" wrapText="1"/>
    </xf>
    <xf numFmtId="0" fontId="31" fillId="34" borderId="24" xfId="0" applyFont="1" applyFill="1" applyBorder="1" applyAlignment="1">
      <alignment vertical="center" wrapText="1"/>
    </xf>
    <xf numFmtId="49" fontId="31" fillId="34" borderId="24" xfId="0" applyNumberFormat="1" applyFont="1" applyFill="1" applyBorder="1" applyAlignment="1">
      <alignment horizontal="center" vertical="center"/>
    </xf>
    <xf numFmtId="49" fontId="31" fillId="34" borderId="24" xfId="0" applyNumberFormat="1" applyFont="1" applyFill="1" applyBorder="1" applyAlignment="1">
      <alignment horizontal="center" vertical="center" wrapText="1"/>
    </xf>
    <xf numFmtId="0" fontId="31" fillId="34" borderId="24" xfId="0" applyFont="1" applyFill="1" applyBorder="1" applyAlignment="1">
      <alignment horizontal="center" vertical="center"/>
    </xf>
    <xf numFmtId="0" fontId="29" fillId="34" borderId="24" xfId="333" applyFont="1" applyFill="1" applyBorder="1" applyAlignment="1">
      <alignment vertical="top" wrapText="1"/>
      <protection/>
    </xf>
    <xf numFmtId="0" fontId="29" fillId="0" borderId="24" xfId="0" applyFont="1" applyBorder="1" applyAlignment="1">
      <alignment horizontal="left" vertical="top"/>
    </xf>
    <xf numFmtId="0" fontId="29" fillId="3" borderId="24" xfId="0" applyFont="1" applyFill="1" applyBorder="1" applyAlignment="1">
      <alignment horizontal="left" vertical="top"/>
    </xf>
    <xf numFmtId="0" fontId="29" fillId="0" borderId="24" xfId="0" applyFont="1" applyBorder="1" applyAlignment="1">
      <alignment horizontal="left" vertical="top" wrapText="1"/>
    </xf>
    <xf numFmtId="0" fontId="29" fillId="0" borderId="24" xfId="0" applyFont="1" applyBorder="1" applyAlignment="1">
      <alignment vertical="center"/>
    </xf>
    <xf numFmtId="0" fontId="29" fillId="0" borderId="24" xfId="0" applyFont="1" applyBorder="1" applyAlignment="1">
      <alignment vertical="center" wrapText="1"/>
    </xf>
    <xf numFmtId="165" fontId="29" fillId="0" borderId="24" xfId="0" applyNumberFormat="1" applyFont="1" applyBorder="1" applyAlignment="1">
      <alignment vertical="center"/>
    </xf>
    <xf numFmtId="0" fontId="29" fillId="12" borderId="24" xfId="0" applyFont="1" applyFill="1" applyBorder="1" applyAlignment="1">
      <alignment vertical="center"/>
    </xf>
    <xf numFmtId="165" fontId="29" fillId="12" borderId="24" xfId="0" applyNumberFormat="1" applyFont="1" applyFill="1" applyBorder="1" applyAlignment="1">
      <alignment vertical="center"/>
    </xf>
    <xf numFmtId="0" fontId="31" fillId="34" borderId="24" xfId="0" applyFont="1" applyFill="1" applyBorder="1" applyAlignment="1">
      <alignment horizontal="center" vertical="top"/>
    </xf>
    <xf numFmtId="0" fontId="31" fillId="34" borderId="24" xfId="0" applyFont="1" applyFill="1" applyBorder="1" applyAlignment="1">
      <alignment vertical="center"/>
    </xf>
    <xf numFmtId="165" fontId="31" fillId="34" borderId="24" xfId="0" applyNumberFormat="1" applyFont="1" applyFill="1" applyBorder="1" applyAlignment="1">
      <alignment vertical="center"/>
    </xf>
    <xf numFmtId="49" fontId="29" fillId="3" borderId="24" xfId="0" applyNumberFormat="1" applyFont="1" applyFill="1" applyBorder="1" applyAlignment="1">
      <alignment horizontal="center" vertical="top" wrapText="1"/>
    </xf>
    <xf numFmtId="0" fontId="29" fillId="3" borderId="24" xfId="0" applyFont="1" applyFill="1" applyBorder="1" applyAlignment="1">
      <alignment horizontal="center" vertical="top"/>
    </xf>
    <xf numFmtId="0" fontId="29" fillId="3" borderId="24" xfId="0" applyFont="1" applyFill="1" applyBorder="1" applyAlignment="1">
      <alignment vertical="center"/>
    </xf>
    <xf numFmtId="165" fontId="29" fillId="3" borderId="24" xfId="0" applyNumberFormat="1" applyFont="1" applyFill="1" applyBorder="1" applyAlignment="1">
      <alignment vertical="center"/>
    </xf>
    <xf numFmtId="165" fontId="31" fillId="34" borderId="24" xfId="0" applyNumberFormat="1" applyFont="1" applyFill="1" applyBorder="1" applyAlignment="1">
      <alignment vertical="center" wrapText="1"/>
    </xf>
    <xf numFmtId="49" fontId="31" fillId="3" borderId="24" xfId="0" applyNumberFormat="1" applyFont="1" applyFill="1" applyBorder="1" applyAlignment="1">
      <alignment horizontal="center" vertical="top" wrapText="1"/>
    </xf>
    <xf numFmtId="0" fontId="31" fillId="3" borderId="24" xfId="0" applyFont="1" applyFill="1" applyBorder="1" applyAlignment="1">
      <alignment horizontal="center" vertical="top" wrapText="1"/>
    </xf>
    <xf numFmtId="0" fontId="31" fillId="3" borderId="24" xfId="0" applyFont="1" applyFill="1" applyBorder="1" applyAlignment="1">
      <alignment vertical="center" wrapText="1"/>
    </xf>
    <xf numFmtId="165" fontId="31" fillId="3" borderId="24" xfId="0" applyNumberFormat="1" applyFont="1" applyFill="1" applyBorder="1" applyAlignment="1">
      <alignment vertical="center" wrapText="1"/>
    </xf>
    <xf numFmtId="165" fontId="31" fillId="19" borderId="24" xfId="0" applyNumberFormat="1" applyFont="1" applyFill="1" applyBorder="1" applyAlignment="1">
      <alignment horizontal="center" vertical="center" wrapText="1"/>
    </xf>
    <xf numFmtId="165" fontId="29" fillId="19" borderId="24" xfId="0" applyNumberFormat="1" applyFont="1" applyFill="1" applyBorder="1" applyAlignment="1">
      <alignment horizontal="center" vertical="top" wrapText="1"/>
    </xf>
    <xf numFmtId="0" fontId="37" fillId="34" borderId="24" xfId="0" applyFont="1" applyFill="1" applyBorder="1" applyAlignment="1">
      <alignment horizontal="left" vertical="top" wrapText="1"/>
    </xf>
    <xf numFmtId="185" fontId="31" fillId="34" borderId="24" xfId="362" applyNumberFormat="1" applyFont="1" applyFill="1" applyBorder="1" applyAlignment="1">
      <alignment vertical="center" wrapText="1"/>
    </xf>
    <xf numFmtId="185" fontId="31" fillId="34" borderId="24" xfId="362" applyNumberFormat="1" applyFont="1" applyFill="1" applyBorder="1" applyAlignment="1">
      <alignment vertical="center"/>
    </xf>
    <xf numFmtId="0" fontId="29" fillId="34" borderId="24" xfId="0" applyFont="1" applyFill="1" applyBorder="1" applyAlignment="1">
      <alignment vertical="top" wrapText="1"/>
    </xf>
    <xf numFmtId="2" fontId="31" fillId="34" borderId="24" xfId="0" applyNumberFormat="1" applyFont="1" applyFill="1" applyBorder="1" applyAlignment="1">
      <alignment horizontal="center" vertical="center"/>
    </xf>
    <xf numFmtId="1" fontId="29" fillId="3" borderId="24" xfId="0" applyNumberFormat="1" applyFont="1" applyFill="1" applyBorder="1" applyAlignment="1">
      <alignment horizontal="left" vertical="center" wrapText="1"/>
    </xf>
    <xf numFmtId="0" fontId="37" fillId="34" borderId="24" xfId="0" applyFont="1" applyFill="1" applyBorder="1" applyAlignment="1">
      <alignment vertical="top" wrapText="1"/>
    </xf>
    <xf numFmtId="0" fontId="31" fillId="34" borderId="24" xfId="0" applyFont="1" applyFill="1" applyBorder="1" applyAlignment="1">
      <alignment vertical="top" wrapText="1"/>
    </xf>
    <xf numFmtId="2" fontId="31" fillId="34" borderId="24" xfId="0" applyNumberFormat="1" applyFont="1" applyFill="1" applyBorder="1" applyAlignment="1">
      <alignment horizontal="center" vertical="top"/>
    </xf>
    <xf numFmtId="165" fontId="31" fillId="34" borderId="24" xfId="0" applyNumberFormat="1" applyFont="1" applyFill="1" applyBorder="1" applyAlignment="1">
      <alignment horizontal="center" vertical="top"/>
    </xf>
    <xf numFmtId="185" fontId="43" fillId="3" borderId="24" xfId="362" applyNumberFormat="1" applyFont="1" applyFill="1" applyBorder="1" applyAlignment="1">
      <alignment horizontal="center" vertical="center"/>
    </xf>
    <xf numFmtId="164" fontId="37" fillId="34" borderId="24" xfId="0" applyNumberFormat="1" applyFont="1" applyFill="1" applyBorder="1" applyAlignment="1">
      <alignment vertical="center" wrapText="1"/>
    </xf>
    <xf numFmtId="0" fontId="31" fillId="34" borderId="24" xfId="0" applyFont="1" applyFill="1" applyBorder="1" applyAlignment="1">
      <alignment horizontal="center" vertical="center" wrapText="1"/>
    </xf>
    <xf numFmtId="165" fontId="29" fillId="3" borderId="24" xfId="0" applyNumberFormat="1" applyFont="1" applyFill="1" applyBorder="1" applyAlignment="1">
      <alignment vertical="top" wrapText="1"/>
    </xf>
    <xf numFmtId="164" fontId="29" fillId="3" borderId="24" xfId="362" applyFont="1" applyFill="1" applyBorder="1" applyAlignment="1">
      <alignment vertical="center" wrapText="1"/>
    </xf>
    <xf numFmtId="185" fontId="29" fillId="3" borderId="24" xfId="362" applyNumberFormat="1" applyFont="1" applyFill="1" applyBorder="1" applyAlignment="1">
      <alignment vertical="center"/>
    </xf>
    <xf numFmtId="2" fontId="29" fillId="3" borderId="24" xfId="362" applyNumberFormat="1" applyFont="1" applyFill="1" applyBorder="1" applyAlignment="1">
      <alignment horizontal="center" vertical="center" wrapText="1"/>
    </xf>
    <xf numFmtId="164" fontId="39" fillId="3" borderId="24" xfId="362" applyFont="1" applyFill="1" applyBorder="1" applyAlignment="1">
      <alignment horizontal="center" vertical="center"/>
    </xf>
    <xf numFmtId="165" fontId="29" fillId="3" borderId="24" xfId="333" applyNumberFormat="1" applyFont="1" applyFill="1" applyBorder="1" applyAlignment="1">
      <alignment vertical="top" wrapText="1"/>
      <protection/>
    </xf>
    <xf numFmtId="165" fontId="29" fillId="3" borderId="24" xfId="0" applyNumberFormat="1" applyFont="1" applyFill="1" applyBorder="1" applyAlignment="1">
      <alignment horizontal="center" vertical="center"/>
    </xf>
    <xf numFmtId="165" fontId="29" fillId="85" borderId="24" xfId="333" applyNumberFormat="1" applyFont="1" applyFill="1" applyBorder="1" applyAlignment="1">
      <alignment vertical="top" wrapText="1"/>
      <protection/>
    </xf>
    <xf numFmtId="164" fontId="29" fillId="3" borderId="24" xfId="362" applyFont="1" applyFill="1" applyBorder="1" applyAlignment="1">
      <alignment vertical="center"/>
    </xf>
    <xf numFmtId="165" fontId="29" fillId="3" borderId="24" xfId="0" applyNumberFormat="1" applyFont="1" applyFill="1" applyBorder="1" applyAlignment="1">
      <alignment horizontal="left" vertical="top" wrapText="1"/>
    </xf>
    <xf numFmtId="2" fontId="29" fillId="3" borderId="24" xfId="362" applyNumberFormat="1" applyFont="1" applyFill="1" applyBorder="1" applyAlignment="1">
      <alignment horizontal="left" vertical="top" wrapText="1"/>
    </xf>
    <xf numFmtId="2" fontId="29" fillId="3" borderId="24" xfId="362" applyNumberFormat="1" applyFont="1" applyFill="1" applyBorder="1" applyAlignment="1">
      <alignment horizontal="center" vertical="top" wrapText="1"/>
    </xf>
    <xf numFmtId="165" fontId="30" fillId="3" borderId="24" xfId="0" applyNumberFormat="1" applyFont="1" applyFill="1" applyBorder="1" applyAlignment="1">
      <alignment vertical="top" wrapText="1"/>
    </xf>
    <xf numFmtId="2" fontId="29" fillId="3" borderId="24" xfId="362" applyNumberFormat="1" applyFont="1" applyFill="1" applyBorder="1" applyAlignment="1">
      <alignment horizontal="justify" vertical="top" wrapText="1"/>
    </xf>
    <xf numFmtId="165" fontId="29" fillId="86" borderId="24" xfId="250" applyNumberFormat="1" applyFont="1" applyFill="1" applyBorder="1" applyAlignment="1">
      <alignment vertical="top" wrapText="1"/>
      <protection/>
    </xf>
    <xf numFmtId="2" fontId="29" fillId="3" borderId="24" xfId="362" applyNumberFormat="1" applyFont="1" applyFill="1" applyBorder="1" applyAlignment="1">
      <alignment horizontal="center" vertical="top"/>
    </xf>
    <xf numFmtId="165" fontId="31" fillId="19" borderId="24" xfId="342" applyNumberFormat="1" applyFont="1" applyFill="1" applyBorder="1" applyAlignment="1">
      <alignment horizontal="center" vertical="center" wrapText="1"/>
      <protection/>
    </xf>
    <xf numFmtId="165" fontId="37" fillId="34" borderId="24" xfId="342" applyNumberFormat="1" applyFont="1" applyFill="1" applyBorder="1" applyAlignment="1">
      <alignment horizontal="center" vertical="center"/>
      <protection/>
    </xf>
    <xf numFmtId="4" fontId="31" fillId="0" borderId="24" xfId="342" applyNumberFormat="1" applyFont="1" applyFill="1" applyBorder="1" applyAlignment="1">
      <alignment horizontal="center" vertical="center" wrapText="1"/>
      <protection/>
    </xf>
    <xf numFmtId="165" fontId="31" fillId="0" borderId="24" xfId="342" applyNumberFormat="1" applyFont="1" applyBorder="1" applyAlignment="1">
      <alignment horizontal="center" vertical="center"/>
      <protection/>
    </xf>
    <xf numFmtId="165" fontId="31" fillId="0" borderId="24" xfId="342" applyNumberFormat="1" applyFont="1" applyBorder="1" applyAlignment="1">
      <alignment horizontal="left" vertical="center" wrapText="1"/>
      <protection/>
    </xf>
    <xf numFmtId="0" fontId="31" fillId="0" borderId="24" xfId="342" applyFont="1" applyFill="1" applyBorder="1" applyAlignment="1">
      <alignment horizontal="left" vertical="center" wrapText="1"/>
      <protection/>
    </xf>
    <xf numFmtId="0" fontId="29" fillId="0" borderId="24" xfId="0" applyFont="1" applyBorder="1" applyAlignment="1">
      <alignment horizontal="center" vertical="top" wrapText="1"/>
    </xf>
    <xf numFmtId="165" fontId="29" fillId="0" borderId="24" xfId="342" applyNumberFormat="1" applyFont="1" applyBorder="1" applyAlignment="1">
      <alignment horizontal="center" vertical="center"/>
      <protection/>
    </xf>
    <xf numFmtId="4" fontId="30" fillId="0" borderId="24" xfId="0" applyNumberFormat="1" applyFont="1" applyBorder="1" applyAlignment="1">
      <alignment vertical="center"/>
    </xf>
    <xf numFmtId="0" fontId="30" fillId="0" borderId="24" xfId="0" applyFont="1" applyFill="1" applyBorder="1" applyAlignment="1">
      <alignment horizontal="left" vertical="center" wrapText="1"/>
    </xf>
    <xf numFmtId="0" fontId="30" fillId="0" borderId="24" xfId="0" applyFont="1" applyFill="1" applyBorder="1" applyAlignment="1">
      <alignment horizontal="center" vertical="center"/>
    </xf>
    <xf numFmtId="4" fontId="30" fillId="3" borderId="24" xfId="0" applyNumberFormat="1" applyFont="1" applyFill="1" applyBorder="1" applyAlignment="1">
      <alignment vertical="center"/>
    </xf>
    <xf numFmtId="3" fontId="29" fillId="0" borderId="24" xfId="342" applyNumberFormat="1" applyFont="1" applyBorder="1" applyAlignment="1">
      <alignment horizontal="center" vertical="center"/>
      <protection/>
    </xf>
    <xf numFmtId="0" fontId="30" fillId="0" borderId="24" xfId="0" applyFont="1" applyFill="1" applyBorder="1" applyAlignment="1">
      <alignment horizontal="center"/>
    </xf>
    <xf numFmtId="0" fontId="30" fillId="0" borderId="24" xfId="0" applyFont="1" applyBorder="1" applyAlignment="1">
      <alignment vertical="center"/>
    </xf>
    <xf numFmtId="0" fontId="31" fillId="0" borderId="24" xfId="342" applyFont="1" applyBorder="1" applyAlignment="1">
      <alignment horizontal="center" vertical="center"/>
      <protection/>
    </xf>
    <xf numFmtId="0" fontId="29" fillId="0" borderId="24" xfId="342" applyFont="1" applyBorder="1" applyAlignment="1">
      <alignment horizontal="center" vertical="center"/>
      <protection/>
    </xf>
    <xf numFmtId="165" fontId="29" fillId="0" borderId="24" xfId="342" applyNumberFormat="1" applyFont="1" applyBorder="1" applyAlignment="1">
      <alignment horizontal="left" vertical="center" wrapText="1"/>
      <protection/>
    </xf>
    <xf numFmtId="4" fontId="31" fillId="34" borderId="24" xfId="0" applyNumberFormat="1" applyFont="1" applyFill="1" applyBorder="1" applyAlignment="1">
      <alignment horizontal="center" vertical="top" wrapText="1"/>
    </xf>
    <xf numFmtId="4" fontId="31" fillId="34" borderId="24" xfId="0" applyNumberFormat="1" applyFont="1" applyFill="1" applyBorder="1" applyAlignment="1">
      <alignment horizontal="center" vertical="top"/>
    </xf>
    <xf numFmtId="165" fontId="31" fillId="34" borderId="24" xfId="0" applyNumberFormat="1" applyFont="1" applyFill="1" applyBorder="1" applyAlignment="1">
      <alignment vertical="top"/>
    </xf>
    <xf numFmtId="4" fontId="29" fillId="3" borderId="24" xfId="0" applyNumberFormat="1" applyFont="1" applyFill="1" applyBorder="1" applyAlignment="1">
      <alignment horizontal="center" vertical="center" wrapText="1"/>
    </xf>
    <xf numFmtId="4" fontId="29" fillId="3" borderId="24" xfId="0" applyNumberFormat="1" applyFont="1" applyFill="1" applyBorder="1" applyAlignment="1">
      <alignment vertical="center"/>
    </xf>
    <xf numFmtId="165" fontId="31" fillId="3" borderId="24" xfId="0" applyNumberFormat="1" applyFont="1" applyFill="1" applyBorder="1" applyAlignment="1">
      <alignment horizontal="center" vertical="top"/>
    </xf>
    <xf numFmtId="0" fontId="31" fillId="34" borderId="24" xfId="344" applyFont="1" applyFill="1" applyBorder="1" applyAlignment="1">
      <alignment vertical="top" wrapText="1"/>
      <protection/>
    </xf>
    <xf numFmtId="0" fontId="31" fillId="34" borderId="24" xfId="344" applyFont="1" applyFill="1" applyBorder="1" applyAlignment="1">
      <alignment horizontal="left" vertical="top" wrapText="1"/>
      <protection/>
    </xf>
    <xf numFmtId="165" fontId="31" fillId="34" borderId="24" xfId="0" applyNumberFormat="1" applyFont="1" applyFill="1" applyBorder="1" applyAlignment="1">
      <alignment horizontal="center" vertical="top" wrapText="1"/>
    </xf>
    <xf numFmtId="165" fontId="31" fillId="34" borderId="24" xfId="0" applyNumberFormat="1" applyFont="1" applyFill="1" applyBorder="1" applyAlignment="1">
      <alignment vertical="top" wrapText="1"/>
    </xf>
    <xf numFmtId="0" fontId="29" fillId="3" borderId="24" xfId="344" applyFont="1" applyFill="1" applyBorder="1" applyAlignment="1">
      <alignment vertical="top" wrapText="1"/>
      <protection/>
    </xf>
    <xf numFmtId="4" fontId="29" fillId="3" borderId="24" xfId="344" applyNumberFormat="1" applyFont="1" applyFill="1" applyBorder="1" applyAlignment="1">
      <alignment horizontal="center" vertical="top" wrapText="1"/>
      <protection/>
    </xf>
    <xf numFmtId="4" fontId="29" fillId="3" borderId="24" xfId="367" applyNumberFormat="1" applyFont="1" applyFill="1" applyBorder="1" applyAlignment="1">
      <alignment horizontal="center" vertical="top"/>
    </xf>
    <xf numFmtId="4" fontId="29" fillId="3" borderId="24" xfId="367" applyNumberFormat="1" applyFont="1" applyFill="1" applyBorder="1" applyAlignment="1">
      <alignment vertical="top" wrapText="1"/>
    </xf>
    <xf numFmtId="165" fontId="29" fillId="3" borderId="24" xfId="369" applyNumberFormat="1" applyFont="1" applyFill="1" applyBorder="1" applyAlignment="1">
      <alignment vertical="top" wrapText="1"/>
    </xf>
    <xf numFmtId="165" fontId="29" fillId="3" borderId="24" xfId="369" applyNumberFormat="1" applyFont="1" applyFill="1" applyBorder="1" applyAlignment="1">
      <alignment horizontal="center" vertical="top"/>
    </xf>
    <xf numFmtId="4" fontId="29" fillId="3" borderId="24" xfId="369" applyNumberFormat="1" applyFont="1" applyFill="1" applyBorder="1" applyAlignment="1">
      <alignment horizontal="center" vertical="top"/>
    </xf>
    <xf numFmtId="3" fontId="31" fillId="3" borderId="24" xfId="369" applyNumberFormat="1" applyFont="1" applyFill="1" applyBorder="1" applyAlignment="1">
      <alignment vertical="top" wrapText="1"/>
    </xf>
    <xf numFmtId="3" fontId="29" fillId="3" borderId="24" xfId="369" applyNumberFormat="1" applyFont="1" applyFill="1" applyBorder="1" applyAlignment="1">
      <alignment vertical="top" wrapText="1"/>
    </xf>
    <xf numFmtId="4" fontId="29" fillId="3" borderId="24" xfId="369" applyNumberFormat="1" applyFont="1" applyFill="1" applyBorder="1" applyAlignment="1">
      <alignment vertical="top" wrapText="1"/>
    </xf>
    <xf numFmtId="165" fontId="29" fillId="3" borderId="24" xfId="378" applyNumberFormat="1" applyFont="1" applyFill="1" applyBorder="1" applyAlignment="1">
      <alignment vertical="top" wrapText="1"/>
    </xf>
    <xf numFmtId="165" fontId="29" fillId="3" borderId="24" xfId="378" applyNumberFormat="1" applyFont="1" applyFill="1" applyBorder="1" applyAlignment="1">
      <alignment horizontal="center" vertical="top"/>
    </xf>
    <xf numFmtId="4" fontId="29" fillId="3" borderId="24" xfId="378" applyNumberFormat="1" applyFont="1" applyFill="1" applyBorder="1" applyAlignment="1">
      <alignment horizontal="center" vertical="top"/>
    </xf>
    <xf numFmtId="49" fontId="29" fillId="3" borderId="24" xfId="0" applyNumberFormat="1" applyFont="1" applyFill="1" applyBorder="1" applyAlignment="1">
      <alignment vertical="top" wrapText="1"/>
    </xf>
    <xf numFmtId="165" fontId="29" fillId="3" borderId="24" xfId="367" applyNumberFormat="1" applyFont="1" applyFill="1" applyBorder="1" applyAlignment="1">
      <alignment vertical="top"/>
    </xf>
    <xf numFmtId="165" fontId="29" fillId="3" borderId="24" xfId="367" applyNumberFormat="1" applyFont="1" applyFill="1" applyBorder="1" applyAlignment="1">
      <alignment horizontal="center" vertical="top"/>
    </xf>
    <xf numFmtId="0" fontId="29" fillId="3" borderId="24" xfId="369" applyNumberFormat="1" applyFont="1" applyFill="1" applyBorder="1" applyAlignment="1">
      <alignment vertical="top" wrapText="1"/>
    </xf>
    <xf numFmtId="4" fontId="29" fillId="3" borderId="24" xfId="0" applyNumberFormat="1" applyFont="1" applyFill="1" applyBorder="1" applyAlignment="1">
      <alignment horizontal="center" vertical="top"/>
    </xf>
    <xf numFmtId="2" fontId="30" fillId="3" borderId="24" xfId="0" applyNumberFormat="1" applyFont="1" applyFill="1" applyBorder="1" applyAlignment="1">
      <alignment horizontal="center" vertical="top"/>
    </xf>
    <xf numFmtId="174" fontId="29" fillId="3" borderId="24" xfId="344" applyNumberFormat="1" applyFont="1" applyFill="1" applyBorder="1" applyAlignment="1">
      <alignment horizontal="center" vertical="top" wrapText="1"/>
      <protection/>
    </xf>
    <xf numFmtId="165" fontId="29" fillId="3" borderId="24" xfId="344" applyNumberFormat="1" applyFont="1" applyFill="1" applyBorder="1" applyAlignment="1">
      <alignment horizontal="center" vertical="top" wrapText="1"/>
      <protection/>
    </xf>
    <xf numFmtId="49" fontId="29" fillId="3" borderId="24" xfId="333" applyNumberFormat="1" applyFont="1" applyFill="1" applyBorder="1" applyAlignment="1">
      <alignment vertical="top" wrapText="1"/>
      <protection/>
    </xf>
    <xf numFmtId="4" fontId="29" fillId="3" borderId="24" xfId="333" applyNumberFormat="1" applyFont="1" applyFill="1" applyBorder="1" applyAlignment="1">
      <alignment horizontal="center" vertical="top"/>
      <protection/>
    </xf>
    <xf numFmtId="165" fontId="29" fillId="3" borderId="24" xfId="378" applyNumberFormat="1" applyFont="1" applyFill="1" applyBorder="1" applyAlignment="1">
      <alignment vertical="top"/>
    </xf>
    <xf numFmtId="4" fontId="29" fillId="3" borderId="24" xfId="367" applyNumberFormat="1" applyFont="1" applyFill="1" applyBorder="1" applyAlignment="1">
      <alignment horizontal="center" vertical="top" wrapText="1"/>
    </xf>
    <xf numFmtId="4" fontId="31" fillId="34" borderId="24" xfId="367" applyNumberFormat="1" applyFont="1" applyFill="1" applyBorder="1" applyAlignment="1">
      <alignment horizontal="center" vertical="top"/>
    </xf>
    <xf numFmtId="0" fontId="38" fillId="34" borderId="24" xfId="0" applyFont="1" applyFill="1" applyBorder="1" applyAlignment="1">
      <alignment horizontal="center" vertical="top"/>
    </xf>
    <xf numFmtId="165" fontId="31" fillId="34" borderId="24" xfId="367" applyNumberFormat="1" applyFont="1" applyFill="1" applyBorder="1" applyAlignment="1">
      <alignment vertical="top"/>
    </xf>
    <xf numFmtId="165" fontId="31" fillId="34" borderId="24" xfId="367" applyNumberFormat="1" applyFont="1" applyFill="1" applyBorder="1" applyAlignment="1">
      <alignment horizontal="center" vertical="top"/>
    </xf>
    <xf numFmtId="0" fontId="29" fillId="3" borderId="24" xfId="344" applyFont="1" applyFill="1" applyBorder="1" applyAlignment="1">
      <alignment horizontal="left" vertical="top" wrapText="1"/>
      <protection/>
    </xf>
    <xf numFmtId="3" fontId="29" fillId="3" borderId="24" xfId="344" applyNumberFormat="1" applyFont="1" applyFill="1" applyBorder="1" applyAlignment="1">
      <alignment horizontal="center" vertical="top" wrapText="1"/>
      <protection/>
    </xf>
    <xf numFmtId="165" fontId="29" fillId="3" borderId="24" xfId="0" applyNumberFormat="1" applyFont="1" applyFill="1" applyBorder="1" applyAlignment="1">
      <alignment vertical="top"/>
    </xf>
    <xf numFmtId="165" fontId="29" fillId="3" borderId="24" xfId="0" applyNumberFormat="1" applyFont="1" applyFill="1" applyBorder="1" applyAlignment="1">
      <alignment horizontal="center" vertical="top"/>
    </xf>
    <xf numFmtId="4" fontId="29" fillId="7" borderId="24" xfId="344" applyNumberFormat="1" applyFont="1" applyFill="1" applyBorder="1" applyAlignment="1">
      <alignment horizontal="center" vertical="top" wrapText="1"/>
      <protection/>
    </xf>
    <xf numFmtId="4" fontId="29" fillId="7" borderId="24" xfId="367" applyNumberFormat="1" applyFont="1" applyFill="1" applyBorder="1" applyAlignment="1">
      <alignment horizontal="center" vertical="top"/>
    </xf>
    <xf numFmtId="0" fontId="29" fillId="7" borderId="24" xfId="0" applyFont="1" applyFill="1" applyBorder="1" applyAlignment="1">
      <alignment horizontal="center" vertical="top"/>
    </xf>
    <xf numFmtId="165" fontId="29" fillId="7" borderId="24" xfId="367" applyNumberFormat="1" applyFont="1" applyFill="1" applyBorder="1" applyAlignment="1">
      <alignment vertical="top"/>
    </xf>
    <xf numFmtId="165" fontId="29" fillId="7" borderId="24" xfId="367" applyNumberFormat="1" applyFont="1" applyFill="1" applyBorder="1" applyAlignment="1">
      <alignment horizontal="center" vertical="top"/>
    </xf>
    <xf numFmtId="0" fontId="30" fillId="3" borderId="24" xfId="344" applyFont="1" applyFill="1" applyBorder="1" applyAlignment="1">
      <alignment vertical="top" wrapText="1"/>
      <protection/>
    </xf>
    <xf numFmtId="4" fontId="29" fillId="3" borderId="24" xfId="365" applyNumberFormat="1" applyFont="1" applyFill="1" applyBorder="1" applyAlignment="1">
      <alignment horizontal="center" vertical="top"/>
    </xf>
    <xf numFmtId="3" fontId="29" fillId="3" borderId="24" xfId="344" applyNumberFormat="1" applyFont="1" applyFill="1" applyBorder="1" applyAlignment="1">
      <alignment horizontal="center" vertical="top"/>
      <protection/>
    </xf>
    <xf numFmtId="165" fontId="30" fillId="3" borderId="24" xfId="0" applyNumberFormat="1" applyFont="1" applyFill="1" applyBorder="1" applyAlignment="1">
      <alignment horizontal="center" vertical="top"/>
    </xf>
    <xf numFmtId="165" fontId="29" fillId="3" borderId="24" xfId="365" applyNumberFormat="1" applyFont="1" applyFill="1" applyBorder="1" applyAlignment="1">
      <alignment horizontal="center" vertical="top"/>
    </xf>
    <xf numFmtId="4" fontId="29" fillId="2" borderId="24" xfId="351" applyNumberFormat="1" applyFont="1" applyFill="1" applyBorder="1" applyAlignment="1" applyProtection="1">
      <alignment horizontal="center" vertical="top"/>
      <protection/>
    </xf>
    <xf numFmtId="165" fontId="30" fillId="0" borderId="24" xfId="362" applyNumberFormat="1" applyFont="1" applyBorder="1" applyAlignment="1" applyProtection="1">
      <alignment horizontal="center" vertical="top"/>
      <protection/>
    </xf>
    <xf numFmtId="165" fontId="29" fillId="2" borderId="24" xfId="362" applyNumberFormat="1" applyFont="1" applyFill="1" applyBorder="1" applyAlignment="1" applyProtection="1">
      <alignment horizontal="center" vertical="top"/>
      <protection/>
    </xf>
    <xf numFmtId="4" fontId="30" fillId="0" borderId="24" xfId="362" applyNumberFormat="1" applyFont="1" applyBorder="1" applyAlignment="1" applyProtection="1">
      <alignment horizontal="center" vertical="top"/>
      <protection/>
    </xf>
    <xf numFmtId="165" fontId="30" fillId="0" borderId="24" xfId="0" applyNumberFormat="1" applyFont="1" applyBorder="1" applyAlignment="1">
      <alignment horizontal="center" vertical="top"/>
    </xf>
    <xf numFmtId="4" fontId="30" fillId="0" borderId="24" xfId="0" applyNumberFormat="1" applyFont="1" applyBorder="1" applyAlignment="1">
      <alignment horizontal="center" vertical="top"/>
    </xf>
    <xf numFmtId="4" fontId="29" fillId="3" borderId="24" xfId="364" applyNumberFormat="1" applyFont="1" applyFill="1" applyBorder="1" applyAlignment="1">
      <alignment horizontal="center" vertical="top"/>
    </xf>
    <xf numFmtId="165" fontId="29" fillId="0" borderId="24" xfId="369" applyNumberFormat="1" applyFont="1" applyFill="1" applyBorder="1" applyAlignment="1">
      <alignment horizontal="center" vertical="top"/>
    </xf>
    <xf numFmtId="165" fontId="29" fillId="0" borderId="24" xfId="365" applyNumberFormat="1" applyFont="1" applyFill="1" applyBorder="1" applyAlignment="1">
      <alignment horizontal="center" vertical="top"/>
    </xf>
    <xf numFmtId="4" fontId="29" fillId="0" borderId="24" xfId="365" applyNumberFormat="1" applyFont="1" applyFill="1" applyBorder="1" applyAlignment="1">
      <alignment horizontal="center" vertical="top"/>
    </xf>
    <xf numFmtId="4" fontId="29" fillId="0" borderId="24" xfId="344" applyNumberFormat="1" applyFont="1" applyFill="1" applyBorder="1" applyAlignment="1">
      <alignment horizontal="center" vertical="top" wrapText="1"/>
      <protection/>
    </xf>
    <xf numFmtId="0" fontId="29" fillId="3" borderId="24" xfId="378" applyNumberFormat="1" applyFont="1" applyFill="1" applyBorder="1" applyAlignment="1">
      <alignment horizontal="center" vertical="top"/>
    </xf>
    <xf numFmtId="0" fontId="29" fillId="3" borderId="24" xfId="0" applyNumberFormat="1" applyFont="1" applyFill="1" applyBorder="1" applyAlignment="1">
      <alignment horizontal="center" vertical="top" wrapText="1"/>
    </xf>
    <xf numFmtId="4" fontId="29" fillId="0" borderId="24" xfId="369" applyNumberFormat="1" applyFont="1" applyFill="1" applyBorder="1" applyAlignment="1">
      <alignment horizontal="center" vertical="top"/>
    </xf>
    <xf numFmtId="176" fontId="29" fillId="0" borderId="24" xfId="369" applyNumberFormat="1" applyFont="1" applyFill="1" applyBorder="1" applyAlignment="1">
      <alignment horizontal="center" vertical="top"/>
    </xf>
    <xf numFmtId="4" fontId="29" fillId="3" borderId="24" xfId="383" applyNumberFormat="1" applyFont="1" applyFill="1" applyBorder="1" applyAlignment="1">
      <alignment horizontal="center" vertical="top"/>
    </xf>
    <xf numFmtId="165" fontId="29" fillId="0" borderId="24" xfId="364" applyNumberFormat="1" applyFont="1" applyFill="1" applyBorder="1" applyAlignment="1">
      <alignment horizontal="center" vertical="top"/>
    </xf>
    <xf numFmtId="165" fontId="29" fillId="0" borderId="24" xfId="367" applyNumberFormat="1" applyFont="1" applyFill="1" applyBorder="1" applyAlignment="1">
      <alignment horizontal="center" vertical="top"/>
    </xf>
    <xf numFmtId="4" fontId="29" fillId="0" borderId="24" xfId="364" applyNumberFormat="1" applyFont="1" applyFill="1" applyBorder="1" applyAlignment="1">
      <alignment horizontal="center" vertical="top"/>
    </xf>
    <xf numFmtId="4" fontId="29" fillId="3" borderId="24" xfId="378" applyNumberFormat="1" applyFont="1" applyFill="1" applyBorder="1" applyAlignment="1">
      <alignment horizontal="center" vertical="top" wrapText="1"/>
    </xf>
    <xf numFmtId="4" fontId="29" fillId="3" borderId="24" xfId="381" applyNumberFormat="1" applyFont="1" applyFill="1" applyBorder="1" applyAlignment="1">
      <alignment horizontal="center" vertical="top"/>
    </xf>
    <xf numFmtId="165" fontId="29" fillId="3" borderId="24" xfId="381" applyNumberFormat="1" applyFont="1" applyFill="1" applyBorder="1" applyAlignment="1">
      <alignment horizontal="center" vertical="top"/>
    </xf>
    <xf numFmtId="3" fontId="29" fillId="3" borderId="24" xfId="250" applyNumberFormat="1" applyFont="1" applyFill="1" applyBorder="1" applyAlignment="1">
      <alignment horizontal="center" vertical="top"/>
      <protection/>
    </xf>
    <xf numFmtId="4" fontId="29" fillId="3" borderId="24" xfId="374" applyNumberFormat="1" applyFont="1" applyFill="1" applyBorder="1" applyAlignment="1" applyProtection="1">
      <alignment horizontal="center" vertical="top"/>
      <protection/>
    </xf>
    <xf numFmtId="4" fontId="29" fillId="3" borderId="24" xfId="0" applyNumberFormat="1" applyFont="1" applyFill="1" applyBorder="1" applyAlignment="1">
      <alignment vertical="top" wrapText="1"/>
    </xf>
    <xf numFmtId="165" fontId="29" fillId="3" borderId="24" xfId="364" applyNumberFormat="1" applyFont="1" applyFill="1" applyBorder="1" applyAlignment="1">
      <alignment horizontal="center" vertical="top"/>
    </xf>
    <xf numFmtId="4" fontId="29" fillId="3" borderId="24" xfId="368" applyNumberFormat="1" applyFont="1" applyFill="1" applyBorder="1" applyAlignment="1">
      <alignment horizontal="center" vertical="top"/>
    </xf>
    <xf numFmtId="2" fontId="29" fillId="3" borderId="24" xfId="0" applyNumberFormat="1" applyFont="1" applyFill="1" applyBorder="1" applyAlignment="1">
      <alignment horizontal="center" vertical="top"/>
    </xf>
    <xf numFmtId="49" fontId="31" fillId="21" borderId="24" xfId="344" applyNumberFormat="1" applyFont="1" applyFill="1" applyBorder="1" applyAlignment="1">
      <alignment vertical="top" wrapText="1"/>
      <protection/>
    </xf>
    <xf numFmtId="4" fontId="31" fillId="21" borderId="24" xfId="344" applyNumberFormat="1" applyFont="1" applyFill="1" applyBorder="1" applyAlignment="1">
      <alignment horizontal="center" vertical="top" wrapText="1"/>
      <protection/>
    </xf>
    <xf numFmtId="3" fontId="29" fillId="21" borderId="24" xfId="344" applyNumberFormat="1" applyFont="1" applyFill="1" applyBorder="1" applyAlignment="1">
      <alignment horizontal="center" vertical="top" wrapText="1"/>
      <protection/>
    </xf>
    <xf numFmtId="165" fontId="31" fillId="21" borderId="24" xfId="0" applyNumberFormat="1" applyFont="1" applyFill="1" applyBorder="1" applyAlignment="1">
      <alignment vertical="top"/>
    </xf>
    <xf numFmtId="165" fontId="31" fillId="21" borderId="24" xfId="0" applyNumberFormat="1" applyFont="1" applyFill="1" applyBorder="1" applyAlignment="1">
      <alignment horizontal="center" vertical="top"/>
    </xf>
    <xf numFmtId="4" fontId="31" fillId="21" borderId="24" xfId="0" applyNumberFormat="1" applyFont="1" applyFill="1" applyBorder="1" applyAlignment="1">
      <alignment horizontal="center" vertical="top"/>
    </xf>
    <xf numFmtId="49" fontId="31" fillId="3" borderId="24" xfId="344" applyNumberFormat="1" applyFont="1" applyFill="1" applyBorder="1" applyAlignment="1">
      <alignment vertical="top" wrapText="1"/>
      <protection/>
    </xf>
    <xf numFmtId="3" fontId="29" fillId="0" borderId="24" xfId="344" applyNumberFormat="1" applyFont="1" applyFill="1" applyBorder="1" applyAlignment="1">
      <alignment horizontal="center" vertical="top" wrapText="1"/>
      <protection/>
    </xf>
    <xf numFmtId="4" fontId="29" fillId="0" borderId="24" xfId="344" applyNumberFormat="1" applyFont="1" applyFill="1" applyBorder="1" applyAlignment="1">
      <alignment horizontal="center" vertical="center" wrapText="1"/>
      <protection/>
    </xf>
    <xf numFmtId="4" fontId="29" fillId="0" borderId="24" xfId="367" applyNumberFormat="1" applyFont="1" applyFill="1" applyBorder="1" applyAlignment="1">
      <alignment horizontal="center" vertical="center"/>
    </xf>
    <xf numFmtId="3" fontId="29" fillId="0" borderId="24" xfId="344" applyNumberFormat="1" applyFont="1" applyFill="1" applyBorder="1" applyAlignment="1">
      <alignment horizontal="center" vertical="top"/>
      <protection/>
    </xf>
    <xf numFmtId="4" fontId="29" fillId="0" borderId="24" xfId="367" applyNumberFormat="1" applyFont="1" applyFill="1" applyBorder="1" applyAlignment="1">
      <alignment horizontal="center" vertical="top"/>
    </xf>
    <xf numFmtId="4" fontId="29" fillId="0" borderId="24" xfId="372" applyNumberFormat="1" applyFont="1" applyFill="1" applyBorder="1" applyAlignment="1" applyProtection="1">
      <alignment horizontal="center" vertical="center"/>
      <protection/>
    </xf>
    <xf numFmtId="3" fontId="29" fillId="0" borderId="24" xfId="345" applyNumberFormat="1" applyFont="1" applyFill="1" applyBorder="1" applyAlignment="1">
      <alignment horizontal="center" vertical="top"/>
      <protection/>
    </xf>
    <xf numFmtId="4" fontId="31" fillId="7" borderId="24" xfId="344" applyNumberFormat="1" applyFont="1" applyFill="1" applyBorder="1" applyAlignment="1">
      <alignment horizontal="center" vertical="top" wrapText="1"/>
      <protection/>
    </xf>
    <xf numFmtId="4" fontId="31" fillId="7" borderId="24" xfId="367" applyNumberFormat="1" applyFont="1" applyFill="1" applyBorder="1" applyAlignment="1">
      <alignment horizontal="center" vertical="top"/>
    </xf>
    <xf numFmtId="3" fontId="29" fillId="7" borderId="24" xfId="344" applyNumberFormat="1" applyFont="1" applyFill="1" applyBorder="1" applyAlignment="1">
      <alignment horizontal="center" vertical="top" wrapText="1"/>
      <protection/>
    </xf>
    <xf numFmtId="4" fontId="31" fillId="7" borderId="24" xfId="367" applyNumberFormat="1" applyFont="1" applyFill="1" applyBorder="1" applyAlignment="1">
      <alignment vertical="top"/>
    </xf>
    <xf numFmtId="0" fontId="30" fillId="0" borderId="24" xfId="344" applyFont="1" applyFill="1" applyBorder="1" applyAlignment="1">
      <alignment vertical="top" wrapText="1"/>
      <protection/>
    </xf>
    <xf numFmtId="0" fontId="31" fillId="0" borderId="24" xfId="344" applyFont="1" applyFill="1" applyBorder="1" applyAlignment="1">
      <alignment horizontal="left" vertical="top" wrapText="1"/>
      <protection/>
    </xf>
    <xf numFmtId="4" fontId="31" fillId="0" borderId="24" xfId="344" applyNumberFormat="1" applyFont="1" applyFill="1" applyBorder="1" applyAlignment="1">
      <alignment horizontal="center" vertical="top" wrapText="1"/>
      <protection/>
    </xf>
    <xf numFmtId="4" fontId="29" fillId="0" borderId="24" xfId="367" applyNumberFormat="1" applyFont="1" applyFill="1" applyBorder="1" applyAlignment="1">
      <alignment vertical="top"/>
    </xf>
    <xf numFmtId="0" fontId="29" fillId="7" borderId="24" xfId="0" applyFont="1" applyFill="1" applyBorder="1" applyAlignment="1">
      <alignment vertical="top"/>
    </xf>
    <xf numFmtId="4" fontId="31" fillId="7" borderId="24" xfId="0" applyNumberFormat="1" applyFont="1" applyFill="1" applyBorder="1" applyAlignment="1">
      <alignment vertical="top"/>
    </xf>
    <xf numFmtId="4" fontId="31" fillId="7" borderId="24" xfId="0" applyNumberFormat="1" applyFont="1" applyFill="1" applyBorder="1" applyAlignment="1">
      <alignment horizontal="center" vertical="top"/>
    </xf>
    <xf numFmtId="4" fontId="29" fillId="0" borderId="24" xfId="0" applyNumberFormat="1" applyFont="1" applyFill="1" applyBorder="1" applyAlignment="1">
      <alignment horizontal="center" vertical="top" wrapText="1"/>
    </xf>
    <xf numFmtId="4" fontId="29" fillId="14" borderId="24" xfId="0" applyNumberFormat="1" applyFont="1" applyFill="1" applyBorder="1" applyAlignment="1">
      <alignment horizontal="center" vertical="top"/>
    </xf>
    <xf numFmtId="4" fontId="30" fillId="14" borderId="24" xfId="0" applyNumberFormat="1" applyFont="1" applyFill="1" applyBorder="1" applyAlignment="1">
      <alignment horizontal="center" vertical="top"/>
    </xf>
    <xf numFmtId="4" fontId="29" fillId="0" borderId="24" xfId="0" applyNumberFormat="1" applyFont="1" applyFill="1" applyBorder="1" applyAlignment="1">
      <alignment horizontal="center" vertical="top"/>
    </xf>
    <xf numFmtId="4" fontId="29" fillId="3" borderId="24" xfId="0" applyNumberFormat="1" applyFont="1" applyFill="1" applyBorder="1" applyAlignment="1">
      <alignment vertical="top"/>
    </xf>
    <xf numFmtId="3" fontId="29" fillId="34" borderId="24" xfId="344" applyNumberFormat="1" applyFont="1" applyFill="1" applyBorder="1" applyAlignment="1">
      <alignment horizontal="center" vertical="top" wrapText="1"/>
      <protection/>
    </xf>
    <xf numFmtId="4" fontId="31" fillId="34" borderId="24" xfId="0" applyNumberFormat="1" applyFont="1" applyFill="1" applyBorder="1" applyAlignment="1">
      <alignment vertical="top"/>
    </xf>
    <xf numFmtId="0" fontId="29" fillId="3" borderId="24" xfId="0" applyFont="1" applyFill="1" applyBorder="1" applyAlignment="1">
      <alignment vertical="top"/>
    </xf>
    <xf numFmtId="4" fontId="29" fillId="3" borderId="24" xfId="0" applyNumberFormat="1" applyFont="1" applyFill="1" applyBorder="1" applyAlignment="1">
      <alignment vertical="center" wrapText="1"/>
    </xf>
    <xf numFmtId="0" fontId="29" fillId="3" borderId="24" xfId="347" applyFont="1" applyFill="1" applyBorder="1" applyAlignment="1">
      <alignment vertical="top" wrapText="1"/>
      <protection/>
    </xf>
    <xf numFmtId="3" fontId="29" fillId="3" borderId="24" xfId="0" applyNumberFormat="1" applyFont="1" applyFill="1" applyBorder="1" applyAlignment="1">
      <alignment horizontal="center" vertical="center"/>
    </xf>
    <xf numFmtId="2" fontId="29" fillId="3" borderId="24" xfId="0" applyNumberFormat="1" applyFont="1" applyFill="1" applyBorder="1" applyAlignment="1">
      <alignment vertical="distributed" wrapText="1"/>
    </xf>
    <xf numFmtId="3" fontId="29" fillId="3" borderId="24" xfId="344" applyNumberFormat="1" applyFont="1" applyFill="1" applyBorder="1" applyAlignment="1">
      <alignment horizontal="center" vertical="top" wrapText="1" shrinkToFit="1"/>
      <protection/>
    </xf>
    <xf numFmtId="4" fontId="29" fillId="3" borderId="24" xfId="308" applyNumberFormat="1" applyFont="1" applyFill="1" applyBorder="1" applyAlignment="1">
      <alignment horizontal="center" vertical="center" wrapText="1"/>
    </xf>
    <xf numFmtId="0" fontId="29" fillId="3" borderId="24" xfId="333" applyFont="1" applyFill="1" applyBorder="1" applyAlignment="1">
      <alignment horizontal="center" vertical="top"/>
      <protection/>
    </xf>
    <xf numFmtId="0" fontId="29" fillId="3" borderId="24" xfId="0" applyFont="1" applyFill="1" applyBorder="1" applyAlignment="1">
      <alignment horizontal="center" vertical="center"/>
    </xf>
    <xf numFmtId="0" fontId="29" fillId="86" borderId="24" xfId="250" applyFont="1" applyFill="1" applyBorder="1" applyAlignment="1">
      <alignment vertical="top" wrapText="1"/>
      <protection/>
    </xf>
    <xf numFmtId="174" fontId="29" fillId="3" borderId="24" xfId="344" applyNumberFormat="1" applyFont="1" applyFill="1" applyBorder="1" applyAlignment="1">
      <alignment horizontal="center" vertical="center" wrapText="1"/>
      <protection/>
    </xf>
    <xf numFmtId="4" fontId="29" fillId="3" borderId="24" xfId="341" applyNumberFormat="1" applyFont="1" applyFill="1" applyBorder="1" applyAlignment="1">
      <alignment horizontal="center" vertical="center"/>
      <protection/>
    </xf>
    <xf numFmtId="0" fontId="29" fillId="3" borderId="24" xfId="341" applyFont="1" applyFill="1" applyBorder="1" applyAlignment="1">
      <alignment horizontal="center" vertical="top" wrapText="1"/>
      <protection/>
    </xf>
    <xf numFmtId="4" fontId="29" fillId="3" borderId="24" xfId="341" applyNumberFormat="1" applyFont="1" applyFill="1" applyBorder="1" applyAlignment="1">
      <alignment vertical="center" wrapText="1"/>
      <protection/>
    </xf>
    <xf numFmtId="0" fontId="31" fillId="3" borderId="24" xfId="344" applyFont="1" applyFill="1" applyBorder="1" applyAlignment="1">
      <alignment horizontal="center" vertical="top"/>
      <protection/>
    </xf>
    <xf numFmtId="4" fontId="30" fillId="3" borderId="24" xfId="0" applyNumberFormat="1" applyFont="1" applyFill="1" applyBorder="1" applyAlignment="1">
      <alignment horizontal="center"/>
    </xf>
    <xf numFmtId="0" fontId="31" fillId="19" borderId="24" xfId="342" applyFont="1" applyFill="1" applyBorder="1" applyAlignment="1">
      <alignment horizontal="center" vertical="top" wrapText="1"/>
      <protection/>
    </xf>
    <xf numFmtId="3" fontId="31" fillId="19" borderId="24" xfId="342" applyNumberFormat="1" applyFont="1" applyFill="1" applyBorder="1" applyAlignment="1">
      <alignment horizontal="center" vertical="top" wrapText="1"/>
      <protection/>
    </xf>
    <xf numFmtId="165" fontId="31" fillId="34" borderId="24" xfId="342" applyNumberFormat="1" applyFont="1" applyFill="1" applyBorder="1" applyAlignment="1">
      <alignment horizontal="left" vertical="top" wrapText="1"/>
      <protection/>
    </xf>
    <xf numFmtId="1" fontId="31" fillId="34" borderId="24" xfId="342" applyNumberFormat="1" applyFont="1" applyFill="1" applyBorder="1" applyAlignment="1">
      <alignment horizontal="center" vertical="top"/>
      <protection/>
    </xf>
    <xf numFmtId="3" fontId="31" fillId="34" borderId="24" xfId="342" applyNumberFormat="1" applyFont="1" applyFill="1" applyBorder="1" applyAlignment="1">
      <alignment horizontal="center" vertical="top"/>
      <protection/>
    </xf>
    <xf numFmtId="0" fontId="30" fillId="0" borderId="24" xfId="342" applyFont="1" applyFill="1" applyBorder="1" applyAlignment="1">
      <alignment horizontal="left" vertical="top" wrapText="1"/>
      <protection/>
    </xf>
    <xf numFmtId="165" fontId="29" fillId="0" borderId="24" xfId="342" applyNumberFormat="1" applyFont="1" applyFill="1" applyBorder="1" applyAlignment="1">
      <alignment horizontal="center" vertical="top"/>
      <protection/>
    </xf>
    <xf numFmtId="1" fontId="29" fillId="0" borderId="24" xfId="342" applyNumberFormat="1" applyFont="1" applyFill="1" applyBorder="1" applyAlignment="1">
      <alignment horizontal="center" vertical="top"/>
      <protection/>
    </xf>
    <xf numFmtId="4" fontId="29" fillId="0" borderId="24" xfId="342" applyNumberFormat="1" applyFont="1" applyFill="1" applyBorder="1" applyAlignment="1">
      <alignment horizontal="center" vertical="top"/>
      <protection/>
    </xf>
    <xf numFmtId="3" fontId="29" fillId="0" borderId="24" xfId="342" applyNumberFormat="1" applyFont="1" applyFill="1" applyBorder="1" applyAlignment="1">
      <alignment horizontal="center" vertical="top"/>
      <protection/>
    </xf>
    <xf numFmtId="3" fontId="30" fillId="0" borderId="24" xfId="0" applyNumberFormat="1" applyFont="1" applyBorder="1" applyAlignment="1">
      <alignment vertical="top"/>
    </xf>
    <xf numFmtId="3" fontId="37" fillId="19" borderId="24" xfId="0" applyNumberFormat="1" applyFont="1" applyFill="1" applyBorder="1" applyAlignment="1">
      <alignment horizontal="center"/>
    </xf>
    <xf numFmtId="0" fontId="29" fillId="19" borderId="24" xfId="342" applyFont="1" applyFill="1" applyBorder="1" applyAlignment="1">
      <alignment horizontal="center" vertical="center" wrapText="1"/>
      <protection/>
    </xf>
    <xf numFmtId="4" fontId="37" fillId="19" borderId="24" xfId="0" applyNumberFormat="1" applyFont="1" applyFill="1" applyBorder="1" applyAlignment="1">
      <alignment horizontal="center"/>
    </xf>
    <xf numFmtId="0" fontId="37" fillId="34" borderId="24" xfId="342" applyFont="1" applyFill="1" applyBorder="1" applyAlignment="1">
      <alignment vertical="top" wrapText="1"/>
      <protection/>
    </xf>
    <xf numFmtId="165" fontId="31" fillId="34" borderId="24" xfId="342" applyNumberFormat="1" applyFont="1" applyFill="1" applyBorder="1" applyAlignment="1">
      <alignment horizontal="center" vertical="top" wrapText="1"/>
      <protection/>
    </xf>
    <xf numFmtId="165" fontId="29" fillId="3" borderId="24" xfId="342" applyNumberFormat="1" applyFont="1" applyFill="1" applyBorder="1" applyAlignment="1">
      <alignment horizontal="center" vertical="top" wrapText="1"/>
      <protection/>
    </xf>
    <xf numFmtId="0" fontId="31" fillId="32" borderId="24" xfId="0" applyFont="1" applyFill="1" applyBorder="1" applyAlignment="1">
      <alignment horizontal="center" vertical="center" wrapText="1"/>
    </xf>
    <xf numFmtId="4" fontId="31" fillId="34" borderId="24" xfId="369" applyNumberFormat="1" applyFont="1" applyFill="1" applyBorder="1" applyAlignment="1">
      <alignment horizontal="center" vertical="top"/>
    </xf>
    <xf numFmtId="0" fontId="29" fillId="34" borderId="24" xfId="0" applyFont="1" applyFill="1" applyBorder="1" applyAlignment="1">
      <alignment horizontal="center" vertical="top" wrapText="1"/>
    </xf>
    <xf numFmtId="3" fontId="31" fillId="34" borderId="24" xfId="369" applyNumberFormat="1" applyFont="1" applyFill="1" applyBorder="1" applyAlignment="1">
      <alignment horizontal="center" vertical="top"/>
    </xf>
    <xf numFmtId="165" fontId="29" fillId="0" borderId="24" xfId="0" applyNumberFormat="1" applyFont="1" applyBorder="1" applyAlignment="1">
      <alignment horizontal="center" vertical="top" wrapText="1"/>
    </xf>
    <xf numFmtId="4" fontId="29" fillId="0" borderId="24" xfId="378" applyNumberFormat="1" applyFont="1" applyBorder="1" applyAlignment="1">
      <alignment horizontal="center" vertical="top"/>
    </xf>
    <xf numFmtId="3" fontId="29" fillId="0" borderId="24" xfId="378" applyNumberFormat="1" applyFont="1" applyBorder="1" applyAlignment="1">
      <alignment horizontal="center" vertical="top"/>
    </xf>
    <xf numFmtId="165" fontId="30" fillId="0" borderId="24" xfId="0" applyNumberFormat="1" applyFont="1" applyBorder="1" applyAlignment="1">
      <alignment vertical="top"/>
    </xf>
    <xf numFmtId="2" fontId="37" fillId="34" borderId="24" xfId="0" applyNumberFormat="1" applyFont="1" applyFill="1" applyBorder="1" applyAlignment="1">
      <alignment vertical="top" wrapText="1"/>
    </xf>
    <xf numFmtId="2" fontId="31" fillId="34" borderId="24" xfId="0" applyNumberFormat="1" applyFont="1" applyFill="1" applyBorder="1" applyAlignment="1">
      <alignment horizontal="left" vertical="top" wrapText="1"/>
    </xf>
    <xf numFmtId="2" fontId="29" fillId="34" borderId="24" xfId="0" applyNumberFormat="1" applyFont="1" applyFill="1" applyBorder="1" applyAlignment="1">
      <alignment horizontal="center" vertical="top" wrapText="1"/>
    </xf>
    <xf numFmtId="4" fontId="29" fillId="0" borderId="24" xfId="378" applyNumberFormat="1" applyFont="1" applyFill="1" applyBorder="1" applyAlignment="1">
      <alignment horizontal="center" vertical="top"/>
    </xf>
    <xf numFmtId="0" fontId="29" fillId="0" borderId="24" xfId="0" applyFont="1" applyBorder="1" applyAlignment="1">
      <alignment vertical="top" wrapText="1"/>
    </xf>
    <xf numFmtId="3" fontId="29" fillId="0" borderId="24" xfId="365" applyNumberFormat="1" applyFont="1" applyBorder="1" applyAlignment="1">
      <alignment horizontal="center" vertical="top"/>
    </xf>
    <xf numFmtId="4" fontId="29" fillId="0" borderId="24" xfId="0" applyNumberFormat="1" applyFont="1" applyBorder="1" applyAlignment="1">
      <alignment horizontal="center" vertical="top"/>
    </xf>
    <xf numFmtId="0" fontId="37" fillId="32" borderId="24" xfId="0" applyFont="1" applyFill="1" applyBorder="1" applyAlignment="1">
      <alignment horizontal="center" vertical="center" wrapText="1"/>
    </xf>
    <xf numFmtId="0" fontId="71" fillId="34" borderId="24" xfId="0" applyFont="1" applyFill="1" applyBorder="1" applyAlignment="1">
      <alignment horizontal="center" vertical="center" wrapText="1"/>
    </xf>
    <xf numFmtId="4" fontId="37" fillId="0" borderId="24" xfId="0" applyNumberFormat="1" applyFont="1" applyBorder="1" applyAlignment="1">
      <alignment horizontal="center" wrapText="1"/>
    </xf>
    <xf numFmtId="0" fontId="37" fillId="0" borderId="24" xfId="0" applyFont="1" applyBorder="1" applyAlignment="1">
      <alignment horizontal="center" wrapText="1"/>
    </xf>
    <xf numFmtId="2" fontId="37" fillId="0" borderId="24" xfId="0" applyNumberFormat="1" applyFont="1" applyBorder="1" applyAlignment="1">
      <alignment horizontal="left" vertical="center" wrapText="1"/>
    </xf>
    <xf numFmtId="0" fontId="37" fillId="0" borderId="24" xfId="0" applyFont="1" applyBorder="1" applyAlignment="1">
      <alignment wrapText="1"/>
    </xf>
    <xf numFmtId="0" fontId="37" fillId="0" borderId="24" xfId="0" applyFont="1" applyBorder="1" applyAlignment="1">
      <alignment horizontal="center" vertical="center" wrapText="1"/>
    </xf>
    <xf numFmtId="0" fontId="37" fillId="3" borderId="24" xfId="0" applyFont="1" applyFill="1" applyBorder="1" applyAlignment="1">
      <alignment wrapText="1"/>
    </xf>
    <xf numFmtId="0" fontId="31" fillId="3" borderId="24" xfId="342" applyFont="1" applyFill="1" applyBorder="1" applyAlignment="1">
      <alignment horizontal="center" vertical="center" textRotation="90" wrapText="1"/>
      <protection/>
    </xf>
    <xf numFmtId="0" fontId="29" fillId="3" borderId="24" xfId="342" applyFont="1" applyFill="1" applyBorder="1" applyAlignment="1">
      <alignment horizontal="center" vertical="center" textRotation="90" wrapText="1"/>
      <protection/>
    </xf>
    <xf numFmtId="0" fontId="29" fillId="3" borderId="24" xfId="0" applyFont="1" applyFill="1" applyBorder="1" applyAlignment="1">
      <alignment horizontal="center" vertical="top" textRotation="90" wrapText="1"/>
    </xf>
    <xf numFmtId="0" fontId="29" fillId="3" borderId="24" xfId="0" applyFont="1" applyFill="1" applyBorder="1" applyAlignment="1">
      <alignment horizontal="center" vertical="center" textRotation="90" wrapText="1"/>
    </xf>
    <xf numFmtId="0" fontId="29" fillId="3" borderId="24" xfId="342" applyFont="1" applyFill="1" applyBorder="1" applyAlignment="1">
      <alignment horizontal="center" vertical="center" textRotation="90"/>
      <protection/>
    </xf>
    <xf numFmtId="165" fontId="31" fillId="34" borderId="24" xfId="342" applyNumberFormat="1" applyFont="1" applyFill="1" applyBorder="1" applyAlignment="1">
      <alignment horizontal="center" vertical="center" textRotation="90"/>
      <protection/>
    </xf>
    <xf numFmtId="0" fontId="32" fillId="3" borderId="24" xfId="342" applyFont="1" applyFill="1" applyBorder="1" applyAlignment="1">
      <alignment horizontal="center" vertical="center" textRotation="90"/>
      <protection/>
    </xf>
    <xf numFmtId="0" fontId="32" fillId="3" borderId="24" xfId="340" applyFont="1" applyFill="1" applyBorder="1" applyAlignment="1">
      <alignment horizontal="center" vertical="center" textRotation="90"/>
      <protection/>
    </xf>
    <xf numFmtId="0" fontId="29" fillId="3" borderId="24" xfId="340" applyFont="1" applyFill="1" applyBorder="1" applyAlignment="1">
      <alignment horizontal="center" vertical="center" textRotation="90"/>
      <protection/>
    </xf>
    <xf numFmtId="0" fontId="31" fillId="34" borderId="24" xfId="342" applyFont="1" applyFill="1" applyBorder="1" applyAlignment="1">
      <alignment horizontal="center" vertical="center" textRotation="90"/>
      <protection/>
    </xf>
    <xf numFmtId="185" fontId="29" fillId="3" borderId="24" xfId="362" applyNumberFormat="1" applyFont="1" applyFill="1" applyBorder="1" applyAlignment="1">
      <alignment horizontal="center" vertical="center" textRotation="90"/>
    </xf>
    <xf numFmtId="185" fontId="30" fillId="3" borderId="24" xfId="362" applyNumberFormat="1" applyFont="1" applyFill="1" applyBorder="1" applyAlignment="1">
      <alignment horizontal="center" vertical="center" textRotation="90" wrapText="1"/>
    </xf>
    <xf numFmtId="185" fontId="31" fillId="3" borderId="24" xfId="362" applyNumberFormat="1" applyFont="1" applyFill="1" applyBorder="1" applyAlignment="1">
      <alignment horizontal="center" vertical="center" textRotation="90"/>
    </xf>
    <xf numFmtId="0" fontId="31" fillId="3" borderId="24" xfId="342" applyFont="1" applyFill="1" applyBorder="1" applyAlignment="1">
      <alignment horizontal="center" vertical="center" textRotation="90"/>
      <protection/>
    </xf>
    <xf numFmtId="4" fontId="31" fillId="34" borderId="24" xfId="333" applyNumberFormat="1" applyFont="1" applyFill="1" applyBorder="1" applyAlignment="1">
      <alignment horizontal="center" vertical="center" textRotation="90" wrapText="1"/>
      <protection/>
    </xf>
    <xf numFmtId="0" fontId="31" fillId="3" borderId="24" xfId="333" applyFont="1" applyFill="1" applyBorder="1" applyAlignment="1">
      <alignment horizontal="center" vertical="center" textRotation="90" wrapText="1"/>
      <protection/>
    </xf>
    <xf numFmtId="0" fontId="29" fillId="3" borderId="24" xfId="333" applyFont="1" applyFill="1" applyBorder="1" applyAlignment="1">
      <alignment horizontal="center" vertical="center" textRotation="90" wrapText="1"/>
      <protection/>
    </xf>
    <xf numFmtId="165" fontId="31" fillId="34" borderId="24" xfId="333" applyNumberFormat="1" applyFont="1" applyFill="1" applyBorder="1" applyAlignment="1">
      <alignment horizontal="center" vertical="center" textRotation="90"/>
      <protection/>
    </xf>
    <xf numFmtId="165" fontId="31" fillId="3" borderId="24" xfId="333" applyNumberFormat="1" applyFont="1" applyFill="1" applyBorder="1" applyAlignment="1">
      <alignment horizontal="center" vertical="center" textRotation="90"/>
      <protection/>
    </xf>
    <xf numFmtId="0" fontId="29" fillId="0" borderId="24" xfId="342" applyFont="1" applyBorder="1" applyAlignment="1">
      <alignment horizontal="center" vertical="center" textRotation="90" wrapText="1"/>
      <protection/>
    </xf>
    <xf numFmtId="2" fontId="29" fillId="0" borderId="24" xfId="342" applyNumberFormat="1" applyFont="1" applyBorder="1" applyAlignment="1">
      <alignment horizontal="center" vertical="center" textRotation="90" wrapText="1"/>
      <protection/>
    </xf>
    <xf numFmtId="4" fontId="29" fillId="7" borderId="24" xfId="333" applyNumberFormat="1" applyFont="1" applyFill="1" applyBorder="1" applyAlignment="1">
      <alignment horizontal="center" vertical="center" textRotation="90"/>
      <protection/>
    </xf>
    <xf numFmtId="0" fontId="29" fillId="0" borderId="24" xfId="333" applyFont="1" applyFill="1" applyBorder="1" applyAlignment="1">
      <alignment horizontal="center" vertical="center" textRotation="90"/>
      <protection/>
    </xf>
    <xf numFmtId="4" fontId="74" fillId="0" borderId="24" xfId="333" applyNumberFormat="1" applyFont="1" applyFill="1" applyBorder="1" applyAlignment="1">
      <alignment horizontal="center" vertical="center" textRotation="90"/>
      <protection/>
    </xf>
    <xf numFmtId="4" fontId="29" fillId="0" borderId="24" xfId="333" applyNumberFormat="1" applyFont="1" applyFill="1" applyBorder="1" applyAlignment="1">
      <alignment horizontal="center" vertical="center" textRotation="90"/>
      <protection/>
    </xf>
    <xf numFmtId="0" fontId="29" fillId="0" borderId="24" xfId="333" applyFont="1" applyBorder="1" applyAlignment="1">
      <alignment horizontal="center" vertical="center" textRotation="90"/>
      <protection/>
    </xf>
    <xf numFmtId="169" fontId="29" fillId="0" borderId="24" xfId="367" applyNumberFormat="1" applyFont="1" applyBorder="1" applyAlignment="1">
      <alignment horizontal="center" vertical="center" textRotation="90"/>
    </xf>
    <xf numFmtId="165" fontId="29" fillId="3" borderId="24" xfId="333" applyNumberFormat="1" applyFont="1" applyFill="1" applyBorder="1" applyAlignment="1">
      <alignment horizontal="center" vertical="center" textRotation="90"/>
      <protection/>
    </xf>
    <xf numFmtId="165" fontId="29" fillId="0" borderId="24" xfId="333" applyNumberFormat="1" applyFont="1" applyBorder="1" applyAlignment="1">
      <alignment horizontal="center" vertical="center" textRotation="90"/>
      <protection/>
    </xf>
    <xf numFmtId="0" fontId="31" fillId="0" borderId="24" xfId="333" applyFont="1" applyBorder="1" applyAlignment="1">
      <alignment horizontal="center" vertical="center" textRotation="90"/>
      <protection/>
    </xf>
    <xf numFmtId="0" fontId="29" fillId="3" borderId="24" xfId="333" applyFont="1" applyFill="1" applyBorder="1" applyAlignment="1">
      <alignment horizontal="center" vertical="center" textRotation="90"/>
      <protection/>
    </xf>
    <xf numFmtId="0" fontId="31" fillId="34" borderId="24" xfId="333" applyFont="1" applyFill="1" applyBorder="1" applyAlignment="1">
      <alignment horizontal="center" vertical="center" textRotation="90"/>
      <protection/>
    </xf>
    <xf numFmtId="3" fontId="29" fillId="3" borderId="24" xfId="333" applyNumberFormat="1" applyFont="1" applyFill="1" applyBorder="1" applyAlignment="1">
      <alignment horizontal="center" vertical="center" textRotation="90"/>
      <protection/>
    </xf>
    <xf numFmtId="4" fontId="29" fillId="3" borderId="24" xfId="333" applyNumberFormat="1" applyFont="1" applyFill="1" applyBorder="1" applyAlignment="1">
      <alignment horizontal="center" vertical="center" textRotation="90"/>
      <protection/>
    </xf>
    <xf numFmtId="0" fontId="31" fillId="3" borderId="24" xfId="333" applyFont="1" applyFill="1" applyBorder="1" applyAlignment="1">
      <alignment horizontal="center" vertical="center" textRotation="90"/>
      <protection/>
    </xf>
    <xf numFmtId="0" fontId="31" fillId="34" borderId="24" xfId="0" applyFont="1" applyFill="1" applyBorder="1" applyAlignment="1">
      <alignment horizontal="center" vertical="center" textRotation="90"/>
    </xf>
    <xf numFmtId="0" fontId="29" fillId="0" borderId="24" xfId="0" applyFont="1" applyBorder="1" applyAlignment="1">
      <alignment horizontal="center" vertical="center" textRotation="90"/>
    </xf>
    <xf numFmtId="0" fontId="31" fillId="19" borderId="24" xfId="333" applyFont="1" applyFill="1" applyBorder="1" applyAlignment="1">
      <alignment vertical="center" wrapText="1"/>
      <protection/>
    </xf>
    <xf numFmtId="165" fontId="31" fillId="34" borderId="24" xfId="0" applyNumberFormat="1" applyFont="1" applyFill="1" applyBorder="1" applyAlignment="1">
      <alignment horizontal="center" vertical="center" textRotation="90"/>
    </xf>
    <xf numFmtId="164" fontId="29" fillId="3" borderId="24" xfId="362" applyNumberFormat="1" applyFont="1" applyFill="1" applyBorder="1" applyAlignment="1">
      <alignment horizontal="center" vertical="center" textRotation="90"/>
    </xf>
    <xf numFmtId="165" fontId="29" fillId="3" borderId="24" xfId="0" applyNumberFormat="1" applyFont="1" applyFill="1" applyBorder="1" applyAlignment="1">
      <alignment horizontal="center" vertical="center" textRotation="90"/>
    </xf>
    <xf numFmtId="0" fontId="31" fillId="19" borderId="24" xfId="342" applyFont="1" applyFill="1" applyBorder="1" applyAlignment="1">
      <alignment horizontal="center" vertical="center" textRotation="90" wrapText="1"/>
      <protection/>
    </xf>
    <xf numFmtId="49" fontId="37" fillId="34" borderId="24" xfId="343" applyNumberFormat="1" applyFont="1" applyFill="1" applyBorder="1" applyAlignment="1">
      <alignment horizontal="center" vertical="center" wrapText="1"/>
      <protection/>
    </xf>
    <xf numFmtId="0" fontId="37" fillId="34" borderId="24" xfId="0" applyFont="1" applyFill="1" applyBorder="1" applyAlignment="1">
      <alignment horizontal="center" vertical="center" wrapText="1"/>
    </xf>
    <xf numFmtId="165" fontId="31" fillId="0" borderId="24" xfId="342" applyNumberFormat="1" applyFont="1" applyBorder="1" applyAlignment="1">
      <alignment horizontal="center" vertical="center" textRotation="90"/>
      <protection/>
    </xf>
    <xf numFmtId="0" fontId="29" fillId="0" borderId="24" xfId="0" applyFont="1" applyBorder="1" applyAlignment="1">
      <alignment horizontal="center" vertical="center" textRotation="90" wrapText="1"/>
    </xf>
    <xf numFmtId="4" fontId="31" fillId="0" borderId="24" xfId="342" applyNumberFormat="1" applyFont="1" applyBorder="1" applyAlignment="1">
      <alignment horizontal="center" vertical="center" textRotation="90"/>
      <protection/>
    </xf>
    <xf numFmtId="4" fontId="29" fillId="0" borderId="24" xfId="342" applyNumberFormat="1" applyFont="1" applyBorder="1" applyAlignment="1">
      <alignment horizontal="center" vertical="center" textRotation="90" wrapText="1"/>
      <protection/>
    </xf>
    <xf numFmtId="165" fontId="31" fillId="3" borderId="24" xfId="0" applyNumberFormat="1" applyFont="1" applyFill="1" applyBorder="1" applyAlignment="1">
      <alignment horizontal="center" vertical="center" textRotation="90"/>
    </xf>
    <xf numFmtId="165" fontId="31" fillId="34" borderId="24" xfId="0" applyNumberFormat="1" applyFont="1" applyFill="1" applyBorder="1" applyAlignment="1">
      <alignment horizontal="center" vertical="center" textRotation="90" wrapText="1"/>
    </xf>
    <xf numFmtId="165" fontId="29" fillId="3" borderId="24" xfId="369" applyNumberFormat="1" applyFont="1" applyFill="1" applyBorder="1" applyAlignment="1">
      <alignment horizontal="center" vertical="center" textRotation="90"/>
    </xf>
    <xf numFmtId="3" fontId="29" fillId="3" borderId="24" xfId="369" applyNumberFormat="1" applyFont="1" applyFill="1" applyBorder="1" applyAlignment="1">
      <alignment horizontal="center" vertical="center" textRotation="90"/>
    </xf>
    <xf numFmtId="3" fontId="29" fillId="3" borderId="24" xfId="378" applyNumberFormat="1" applyFont="1" applyFill="1" applyBorder="1" applyAlignment="1">
      <alignment horizontal="center" vertical="center" textRotation="90"/>
    </xf>
    <xf numFmtId="3" fontId="29" fillId="3" borderId="24" xfId="367" applyNumberFormat="1" applyFont="1" applyFill="1" applyBorder="1" applyAlignment="1">
      <alignment horizontal="center" vertical="center" textRotation="90"/>
    </xf>
    <xf numFmtId="174" fontId="29" fillId="3" borderId="24" xfId="344" applyNumberFormat="1" applyFont="1" applyFill="1" applyBorder="1" applyAlignment="1">
      <alignment horizontal="center" vertical="center" textRotation="90" wrapText="1"/>
      <protection/>
    </xf>
    <xf numFmtId="165" fontId="29" fillId="3" borderId="24" xfId="378" applyNumberFormat="1" applyFont="1" applyFill="1" applyBorder="1" applyAlignment="1">
      <alignment horizontal="center" vertical="center" textRotation="90"/>
    </xf>
    <xf numFmtId="4" fontId="29" fillId="3" borderId="24" xfId="367" applyNumberFormat="1" applyFont="1" applyFill="1" applyBorder="1" applyAlignment="1">
      <alignment horizontal="center" vertical="center" textRotation="90"/>
    </xf>
    <xf numFmtId="165" fontId="31" fillId="34" borderId="24" xfId="367" applyNumberFormat="1" applyFont="1" applyFill="1" applyBorder="1" applyAlignment="1">
      <alignment horizontal="center" vertical="center" textRotation="90"/>
    </xf>
    <xf numFmtId="4" fontId="31" fillId="34" borderId="24" xfId="367" applyNumberFormat="1" applyFont="1" applyFill="1" applyBorder="1" applyAlignment="1">
      <alignment horizontal="center" vertical="center" textRotation="90"/>
    </xf>
    <xf numFmtId="165" fontId="29" fillId="7" borderId="24" xfId="367" applyNumberFormat="1" applyFont="1" applyFill="1" applyBorder="1" applyAlignment="1">
      <alignment horizontal="center" vertical="center" textRotation="90"/>
    </xf>
    <xf numFmtId="4" fontId="29" fillId="3" borderId="24" xfId="365" applyNumberFormat="1" applyFont="1" applyFill="1" applyBorder="1" applyAlignment="1">
      <alignment horizontal="center" vertical="center" textRotation="90"/>
    </xf>
    <xf numFmtId="10" fontId="29" fillId="3" borderId="24" xfId="0" applyNumberFormat="1" applyFont="1" applyFill="1" applyBorder="1" applyAlignment="1">
      <alignment horizontal="center" vertical="center" textRotation="90"/>
    </xf>
    <xf numFmtId="4" fontId="29" fillId="3" borderId="24" xfId="369" applyNumberFormat="1" applyFont="1" applyFill="1" applyBorder="1" applyAlignment="1">
      <alignment horizontal="center" vertical="center" textRotation="90"/>
    </xf>
    <xf numFmtId="4" fontId="29" fillId="3" borderId="24" xfId="378" applyNumberFormat="1" applyFont="1" applyFill="1" applyBorder="1" applyAlignment="1">
      <alignment horizontal="center" vertical="center" textRotation="90"/>
    </xf>
    <xf numFmtId="0" fontId="29" fillId="3" borderId="24" xfId="378" applyNumberFormat="1" applyFont="1" applyFill="1" applyBorder="1" applyAlignment="1">
      <alignment horizontal="center" vertical="center" textRotation="90"/>
    </xf>
    <xf numFmtId="4" fontId="29" fillId="3" borderId="24" xfId="383" applyNumberFormat="1" applyFont="1" applyFill="1" applyBorder="1" applyAlignment="1">
      <alignment horizontal="center" vertical="center" textRotation="90"/>
    </xf>
    <xf numFmtId="3" fontId="29" fillId="3" borderId="24" xfId="365" applyNumberFormat="1" applyFont="1" applyFill="1" applyBorder="1" applyAlignment="1">
      <alignment horizontal="center" vertical="center" textRotation="90"/>
    </xf>
    <xf numFmtId="4" fontId="29" fillId="3" borderId="24" xfId="378" applyNumberFormat="1" applyFont="1" applyFill="1" applyBorder="1" applyAlignment="1">
      <alignment horizontal="center" vertical="center" textRotation="90" wrapText="1"/>
    </xf>
    <xf numFmtId="4" fontId="29" fillId="3" borderId="24" xfId="381" applyNumberFormat="1" applyFont="1" applyFill="1" applyBorder="1" applyAlignment="1">
      <alignment horizontal="center" vertical="center" textRotation="90"/>
    </xf>
    <xf numFmtId="3" fontId="29" fillId="3" borderId="24" xfId="374" applyNumberFormat="1" applyFont="1" applyFill="1" applyBorder="1" applyAlignment="1" applyProtection="1">
      <alignment horizontal="center" vertical="center" textRotation="90"/>
      <protection/>
    </xf>
    <xf numFmtId="3" fontId="29" fillId="3" borderId="24" xfId="0" applyNumberFormat="1" applyFont="1" applyFill="1" applyBorder="1" applyAlignment="1">
      <alignment horizontal="center" vertical="center" textRotation="90"/>
    </xf>
    <xf numFmtId="3" fontId="29" fillId="3" borderId="24" xfId="364" applyNumberFormat="1" applyFont="1" applyFill="1" applyBorder="1" applyAlignment="1">
      <alignment horizontal="center" vertical="center" textRotation="90"/>
    </xf>
    <xf numFmtId="1" fontId="29" fillId="3" borderId="24" xfId="0" applyNumberFormat="1" applyFont="1" applyFill="1" applyBorder="1" applyAlignment="1">
      <alignment horizontal="center" vertical="center" textRotation="90"/>
    </xf>
    <xf numFmtId="165" fontId="31" fillId="21" borderId="24" xfId="0" applyNumberFormat="1" applyFont="1" applyFill="1" applyBorder="1" applyAlignment="1">
      <alignment horizontal="center" vertical="center" textRotation="90"/>
    </xf>
    <xf numFmtId="165" fontId="29" fillId="3" borderId="24" xfId="344" applyNumberFormat="1" applyFont="1" applyFill="1" applyBorder="1" applyAlignment="1">
      <alignment horizontal="center" vertical="center" textRotation="90" wrapText="1"/>
      <protection/>
    </xf>
    <xf numFmtId="4" fontId="29" fillId="0" borderId="24" xfId="367" applyNumberFormat="1" applyFont="1" applyFill="1" applyBorder="1" applyAlignment="1">
      <alignment horizontal="center" vertical="center" textRotation="90"/>
    </xf>
    <xf numFmtId="4" fontId="29" fillId="0" borderId="24" xfId="369" applyNumberFormat="1" applyFont="1" applyFill="1" applyBorder="1" applyAlignment="1">
      <alignment horizontal="center" vertical="center" textRotation="90"/>
    </xf>
    <xf numFmtId="3" fontId="29" fillId="0" borderId="24" xfId="369" applyNumberFormat="1" applyFont="1" applyFill="1" applyBorder="1" applyAlignment="1">
      <alignment horizontal="center" vertical="center" textRotation="90"/>
    </xf>
    <xf numFmtId="3" fontId="29" fillId="0" borderId="24" xfId="372" applyNumberFormat="1" applyFont="1" applyFill="1" applyBorder="1" applyAlignment="1" applyProtection="1">
      <alignment horizontal="center" vertical="center" textRotation="90"/>
      <protection/>
    </xf>
    <xf numFmtId="4" fontId="31" fillId="7" borderId="24" xfId="367" applyNumberFormat="1" applyFont="1" applyFill="1" applyBorder="1" applyAlignment="1">
      <alignment horizontal="center" vertical="center" textRotation="90"/>
    </xf>
    <xf numFmtId="4" fontId="31" fillId="7" borderId="24" xfId="0" applyNumberFormat="1" applyFont="1" applyFill="1" applyBorder="1" applyAlignment="1">
      <alignment horizontal="center" vertical="center" textRotation="90"/>
    </xf>
    <xf numFmtId="4" fontId="29" fillId="3" borderId="24" xfId="0" applyNumberFormat="1" applyFont="1" applyFill="1" applyBorder="1" applyAlignment="1">
      <alignment horizontal="center" vertical="center" textRotation="90"/>
    </xf>
    <xf numFmtId="165" fontId="29" fillId="3" borderId="24" xfId="367" applyNumberFormat="1" applyFont="1" applyFill="1" applyBorder="1" applyAlignment="1">
      <alignment horizontal="center" vertical="center" textRotation="90"/>
    </xf>
    <xf numFmtId="0" fontId="31" fillId="34" borderId="24" xfId="0" applyNumberFormat="1" applyFont="1" applyFill="1" applyBorder="1" applyAlignment="1">
      <alignment horizontal="center" vertical="center" textRotation="90"/>
    </xf>
    <xf numFmtId="0" fontId="29" fillId="3" borderId="24" xfId="0" applyNumberFormat="1" applyFont="1" applyFill="1" applyBorder="1" applyAlignment="1">
      <alignment horizontal="center" vertical="center" textRotation="90"/>
    </xf>
    <xf numFmtId="0" fontId="29" fillId="3" borderId="24" xfId="0" applyNumberFormat="1" applyFont="1" applyFill="1" applyBorder="1" applyAlignment="1">
      <alignment horizontal="center" vertical="center" textRotation="90" wrapText="1"/>
    </xf>
    <xf numFmtId="0" fontId="29" fillId="3" borderId="24" xfId="333" applyNumberFormat="1" applyFont="1" applyFill="1" applyBorder="1" applyAlignment="1">
      <alignment horizontal="center" vertical="center" textRotation="90"/>
      <protection/>
    </xf>
    <xf numFmtId="0" fontId="29" fillId="3" borderId="24" xfId="341" applyNumberFormat="1" applyFont="1" applyFill="1" applyBorder="1" applyAlignment="1">
      <alignment horizontal="center" vertical="center" textRotation="90"/>
      <protection/>
    </xf>
    <xf numFmtId="0" fontId="29" fillId="7" borderId="24" xfId="344" applyFont="1" applyFill="1" applyBorder="1" applyAlignment="1">
      <alignment horizontal="left" vertical="top" wrapText="1"/>
      <protection/>
    </xf>
    <xf numFmtId="0" fontId="29" fillId="0" borderId="24" xfId="342" applyFont="1" applyFill="1" applyBorder="1" applyAlignment="1">
      <alignment horizontal="center" vertical="center" textRotation="90" wrapText="1"/>
      <protection/>
    </xf>
    <xf numFmtId="0" fontId="31" fillId="32" borderId="24" xfId="0" applyFont="1" applyFill="1" applyBorder="1" applyAlignment="1">
      <alignment horizontal="center" vertical="center" textRotation="90" wrapText="1"/>
    </xf>
    <xf numFmtId="2" fontId="31" fillId="34" borderId="24" xfId="0" applyNumberFormat="1" applyFont="1" applyFill="1" applyBorder="1" applyAlignment="1">
      <alignment horizontal="center" vertical="center" textRotation="90"/>
    </xf>
    <xf numFmtId="0" fontId="37" fillId="32" borderId="24" xfId="0" applyFont="1" applyFill="1" applyBorder="1" applyAlignment="1">
      <alignment horizontal="center" vertical="center" textRotation="90" wrapText="1"/>
    </xf>
    <xf numFmtId="0" fontId="71" fillId="34" borderId="24" xfId="0" applyFont="1" applyFill="1" applyBorder="1" applyAlignment="1">
      <alignment horizontal="center" vertical="center" textRotation="90" wrapText="1"/>
    </xf>
    <xf numFmtId="0" fontId="37" fillId="0" borderId="24" xfId="0" applyFont="1" applyBorder="1" applyAlignment="1">
      <alignment horizontal="center" vertical="center" textRotation="90" wrapText="1"/>
    </xf>
    <xf numFmtId="0" fontId="75" fillId="34" borderId="24" xfId="0" applyFont="1" applyFill="1" applyBorder="1" applyAlignment="1">
      <alignment horizontal="left" vertical="top" wrapText="1"/>
    </xf>
    <xf numFmtId="0" fontId="75" fillId="34" borderId="24" xfId="0" applyFont="1" applyFill="1" applyBorder="1" applyAlignment="1">
      <alignment horizontal="center" vertical="center" wrapText="1"/>
    </xf>
    <xf numFmtId="2" fontId="37" fillId="34" borderId="24" xfId="0" applyNumberFormat="1" applyFont="1" applyFill="1" applyBorder="1" applyAlignment="1">
      <alignment horizontal="center" vertical="center" wrapText="1"/>
    </xf>
    <xf numFmtId="49" fontId="37" fillId="34" borderId="24" xfId="0" applyNumberFormat="1" applyFont="1" applyFill="1" applyBorder="1" applyAlignment="1">
      <alignment horizontal="center" vertical="center" wrapText="1"/>
    </xf>
    <xf numFmtId="49" fontId="31" fillId="34" borderId="24" xfId="342" applyNumberFormat="1" applyFont="1" applyFill="1" applyBorder="1" applyAlignment="1">
      <alignment horizontal="center" vertical="center" wrapText="1"/>
      <protection/>
    </xf>
    <xf numFmtId="49" fontId="38" fillId="34" borderId="24" xfId="342" applyNumberFormat="1" applyFont="1" applyFill="1" applyBorder="1" applyAlignment="1">
      <alignment horizontal="center" vertical="center" wrapText="1"/>
      <protection/>
    </xf>
    <xf numFmtId="49" fontId="31" fillId="34" borderId="24" xfId="344" applyNumberFormat="1" applyFont="1" applyFill="1" applyBorder="1" applyAlignment="1">
      <alignment horizontal="center" vertical="center" wrapText="1"/>
      <protection/>
    </xf>
    <xf numFmtId="49" fontId="31" fillId="34" borderId="24" xfId="333" applyNumberFormat="1" applyFont="1" applyFill="1" applyBorder="1" applyAlignment="1">
      <alignment horizontal="center" vertical="center" wrapText="1"/>
      <protection/>
    </xf>
    <xf numFmtId="49" fontId="37" fillId="34" borderId="24" xfId="333" applyNumberFormat="1" applyFont="1" applyFill="1" applyBorder="1" applyAlignment="1">
      <alignment horizontal="center" vertical="center" wrapText="1"/>
      <protection/>
    </xf>
    <xf numFmtId="0" fontId="31" fillId="34" borderId="24" xfId="0" applyNumberFormat="1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left" vertical="top" wrapText="1"/>
    </xf>
    <xf numFmtId="4" fontId="31" fillId="3" borderId="24" xfId="362" applyNumberFormat="1" applyFont="1" applyFill="1" applyBorder="1" applyAlignment="1">
      <alignment horizontal="center" vertical="top" wrapText="1"/>
    </xf>
    <xf numFmtId="4" fontId="31" fillId="3" borderId="24" xfId="342" applyNumberFormat="1" applyFont="1" applyFill="1" applyBorder="1" applyAlignment="1">
      <alignment horizontal="center" vertical="top" wrapText="1"/>
      <protection/>
    </xf>
    <xf numFmtId="165" fontId="31" fillId="3" borderId="24" xfId="362" applyNumberFormat="1" applyFont="1" applyFill="1" applyBorder="1" applyAlignment="1">
      <alignment horizontal="center" vertical="top" wrapText="1"/>
    </xf>
    <xf numFmtId="0" fontId="37" fillId="0" borderId="24" xfId="342" applyFont="1" applyFill="1" applyBorder="1" applyAlignment="1">
      <alignment horizontal="center" vertical="top" wrapText="1"/>
      <protection/>
    </xf>
    <xf numFmtId="4" fontId="31" fillId="3" borderId="25" xfId="362" applyNumberFormat="1" applyFont="1" applyFill="1" applyBorder="1" applyAlignment="1">
      <alignment horizontal="center" vertical="center" wrapText="1"/>
    </xf>
    <xf numFmtId="4" fontId="31" fillId="3" borderId="25" xfId="342" applyNumberFormat="1" applyFont="1" applyFill="1" applyBorder="1" applyAlignment="1">
      <alignment horizontal="center" vertical="center" wrapText="1"/>
      <protection/>
    </xf>
    <xf numFmtId="0" fontId="29" fillId="3" borderId="25" xfId="342" applyFont="1" applyFill="1" applyBorder="1" applyAlignment="1">
      <alignment horizontal="center" vertical="center" wrapText="1"/>
      <protection/>
    </xf>
    <xf numFmtId="185" fontId="29" fillId="3" borderId="25" xfId="362" applyNumberFormat="1" applyFont="1" applyFill="1" applyBorder="1" applyAlignment="1">
      <alignment vertical="center" wrapText="1"/>
    </xf>
    <xf numFmtId="185" fontId="31" fillId="3" borderId="25" xfId="362" applyNumberFormat="1" applyFont="1" applyFill="1" applyBorder="1" applyAlignment="1">
      <alignment vertical="center" wrapText="1"/>
    </xf>
    <xf numFmtId="0" fontId="31" fillId="3" borderId="25" xfId="0" applyFont="1" applyFill="1" applyBorder="1" applyAlignment="1">
      <alignment horizontal="center" vertical="top" wrapText="1"/>
    </xf>
    <xf numFmtId="0" fontId="29" fillId="3" borderId="25" xfId="0" applyFont="1" applyFill="1" applyBorder="1" applyAlignment="1">
      <alignment vertical="top" wrapText="1"/>
    </xf>
    <xf numFmtId="0" fontId="75" fillId="34" borderId="24" xfId="0" applyFont="1" applyFill="1" applyBorder="1" applyAlignment="1">
      <alignment horizontal="left" vertical="center" wrapText="1"/>
    </xf>
    <xf numFmtId="0" fontId="75" fillId="34" borderId="24" xfId="0" applyFont="1" applyFill="1" applyBorder="1" applyAlignment="1">
      <alignment horizontal="center" vertical="center" textRotation="90" wrapText="1"/>
    </xf>
    <xf numFmtId="4" fontId="75" fillId="34" borderId="24" xfId="0" applyNumberFormat="1" applyFont="1" applyFill="1" applyBorder="1" applyAlignment="1">
      <alignment horizontal="center" vertical="center" wrapText="1"/>
    </xf>
    <xf numFmtId="0" fontId="37" fillId="34" borderId="24" xfId="0" applyFont="1" applyFill="1" applyBorder="1" applyAlignment="1">
      <alignment horizontal="center" vertical="top" wrapText="1"/>
    </xf>
    <xf numFmtId="0" fontId="31" fillId="34" borderId="24" xfId="342" applyFont="1" applyFill="1" applyBorder="1" applyAlignment="1">
      <alignment horizontal="center" vertical="center" textRotation="90" wrapText="1"/>
      <protection/>
    </xf>
    <xf numFmtId="3" fontId="37" fillId="34" borderId="24" xfId="0" applyNumberFormat="1" applyFont="1" applyFill="1" applyBorder="1" applyAlignment="1">
      <alignment vertical="top"/>
    </xf>
    <xf numFmtId="3" fontId="37" fillId="34" borderId="24" xfId="342" applyNumberFormat="1" applyFont="1" applyFill="1" applyBorder="1" applyAlignment="1">
      <alignment horizontal="center" vertical="top" wrapText="1"/>
      <protection/>
    </xf>
    <xf numFmtId="3" fontId="37" fillId="34" borderId="24" xfId="0" applyNumberFormat="1" applyFont="1" applyFill="1" applyBorder="1" applyAlignment="1">
      <alignment horizontal="center" vertical="top" wrapText="1"/>
    </xf>
    <xf numFmtId="49" fontId="37" fillId="34" borderId="24" xfId="0" applyNumberFormat="1" applyFont="1" applyFill="1" applyBorder="1" applyAlignment="1">
      <alignment horizontal="center" vertical="top" wrapText="1"/>
    </xf>
    <xf numFmtId="0" fontId="31" fillId="34" borderId="24" xfId="0" applyFont="1" applyFill="1" applyBorder="1" applyAlignment="1">
      <alignment horizontal="left" vertical="center" wrapText="1"/>
    </xf>
    <xf numFmtId="3" fontId="31" fillId="34" borderId="24" xfId="0" applyNumberFormat="1" applyFont="1" applyFill="1" applyBorder="1" applyAlignment="1">
      <alignment horizontal="center" vertical="center" wrapText="1"/>
    </xf>
    <xf numFmtId="49" fontId="30" fillId="3" borderId="26" xfId="343" applyNumberFormat="1" applyFont="1" applyFill="1" applyBorder="1" applyAlignment="1">
      <alignment vertical="top" wrapText="1"/>
      <protection/>
    </xf>
    <xf numFmtId="49" fontId="30" fillId="3" borderId="27" xfId="343" applyNumberFormat="1" applyFont="1" applyFill="1" applyBorder="1" applyAlignment="1">
      <alignment vertical="top" wrapText="1"/>
      <protection/>
    </xf>
    <xf numFmtId="49" fontId="30" fillId="3" borderId="28" xfId="343" applyNumberFormat="1" applyFont="1" applyFill="1" applyBorder="1" applyAlignment="1">
      <alignment vertical="top" wrapText="1"/>
      <protection/>
    </xf>
    <xf numFmtId="49" fontId="30" fillId="83" borderId="29" xfId="343" applyNumberFormat="1" applyFont="1" applyFill="1" applyBorder="1" applyAlignment="1">
      <alignment vertical="top" wrapText="1"/>
      <protection/>
    </xf>
    <xf numFmtId="49" fontId="30" fillId="83" borderId="0" xfId="343" applyNumberFormat="1" applyFont="1" applyFill="1" applyBorder="1" applyAlignment="1">
      <alignment vertical="top" wrapText="1"/>
      <protection/>
    </xf>
    <xf numFmtId="49" fontId="30" fillId="83" borderId="30" xfId="343" applyNumberFormat="1" applyFont="1" applyFill="1" applyBorder="1" applyAlignment="1">
      <alignment vertical="top" wrapText="1"/>
      <protection/>
    </xf>
    <xf numFmtId="0" fontId="29" fillId="83" borderId="24" xfId="342" applyFont="1" applyFill="1" applyBorder="1" applyAlignment="1">
      <alignment horizontal="center" vertical="center" textRotation="90"/>
      <protection/>
    </xf>
    <xf numFmtId="0" fontId="29" fillId="83" borderId="24" xfId="0" applyFont="1" applyFill="1" applyBorder="1" applyAlignment="1">
      <alignment horizontal="center" vertical="top"/>
    </xf>
    <xf numFmtId="3" fontId="29" fillId="83" borderId="24" xfId="0" applyNumberFormat="1" applyFont="1" applyFill="1" applyBorder="1" applyAlignment="1">
      <alignment horizontal="center" vertical="top"/>
    </xf>
    <xf numFmtId="165" fontId="29" fillId="83" borderId="24" xfId="0" applyNumberFormat="1" applyFont="1" applyFill="1" applyBorder="1" applyAlignment="1">
      <alignment horizontal="center" vertical="top"/>
    </xf>
    <xf numFmtId="165" fontId="30" fillId="83" borderId="24" xfId="0" applyNumberFormat="1" applyFont="1" applyFill="1" applyBorder="1" applyAlignment="1">
      <alignment horizontal="center" vertical="top"/>
    </xf>
    <xf numFmtId="165" fontId="29" fillId="83" borderId="24" xfId="342" applyNumberFormat="1" applyFont="1" applyFill="1" applyBorder="1" applyAlignment="1">
      <alignment horizontal="center" vertical="top"/>
      <protection/>
    </xf>
    <xf numFmtId="4" fontId="29" fillId="83" borderId="24" xfId="0" applyNumberFormat="1" applyFont="1" applyFill="1" applyBorder="1" applyAlignment="1">
      <alignment horizontal="center" vertical="center"/>
    </xf>
    <xf numFmtId="4" fontId="29" fillId="83" borderId="24" xfId="342" applyNumberFormat="1" applyFont="1" applyFill="1" applyBorder="1" applyAlignment="1">
      <alignment horizontal="center" vertical="center"/>
      <protection/>
    </xf>
    <xf numFmtId="0" fontId="34" fillId="83" borderId="0" xfId="0" applyFont="1" applyFill="1" applyAlignment="1">
      <alignment/>
    </xf>
    <xf numFmtId="0" fontId="29" fillId="83" borderId="31" xfId="342" applyFont="1" applyFill="1" applyBorder="1" applyAlignment="1">
      <alignment vertical="top" wrapText="1"/>
      <protection/>
    </xf>
    <xf numFmtId="0" fontId="30" fillId="83" borderId="24" xfId="0" applyFont="1" applyFill="1" applyBorder="1" applyAlignment="1">
      <alignment horizontal="center" vertical="top"/>
    </xf>
    <xf numFmtId="3" fontId="30" fillId="83" borderId="24" xfId="0" applyNumberFormat="1" applyFont="1" applyFill="1" applyBorder="1" applyAlignment="1">
      <alignment horizontal="center" vertical="top"/>
    </xf>
    <xf numFmtId="165" fontId="30" fillId="83" borderId="24" xfId="0" applyNumberFormat="1" applyFont="1" applyFill="1" applyBorder="1" applyAlignment="1">
      <alignment horizontal="center" vertical="top" wrapText="1"/>
    </xf>
    <xf numFmtId="4" fontId="30" fillId="83" borderId="24" xfId="0" applyNumberFormat="1" applyFont="1" applyFill="1" applyBorder="1" applyAlignment="1">
      <alignment horizontal="center" vertical="center" wrapText="1"/>
    </xf>
    <xf numFmtId="0" fontId="29" fillId="83" borderId="32" xfId="342" applyFont="1" applyFill="1" applyBorder="1" applyAlignment="1">
      <alignment vertical="top" wrapText="1"/>
      <protection/>
    </xf>
    <xf numFmtId="49" fontId="30" fillId="83" borderId="33" xfId="343" applyNumberFormat="1" applyFont="1" applyFill="1" applyBorder="1" applyAlignment="1">
      <alignment vertical="top" wrapText="1"/>
      <protection/>
    </xf>
    <xf numFmtId="49" fontId="30" fillId="83" borderId="34" xfId="343" applyNumberFormat="1" applyFont="1" applyFill="1" applyBorder="1" applyAlignment="1">
      <alignment vertical="top" wrapText="1"/>
      <protection/>
    </xf>
    <xf numFmtId="49" fontId="30" fillId="83" borderId="35" xfId="343" applyNumberFormat="1" applyFont="1" applyFill="1" applyBorder="1" applyAlignment="1">
      <alignment vertical="top" wrapText="1"/>
      <protection/>
    </xf>
    <xf numFmtId="4" fontId="30" fillId="83" borderId="24" xfId="0" applyNumberFormat="1" applyFont="1" applyFill="1" applyBorder="1" applyAlignment="1">
      <alignment horizontal="center" vertical="center"/>
    </xf>
    <xf numFmtId="0" fontId="31" fillId="19" borderId="24" xfId="342" applyFont="1" applyFill="1" applyBorder="1" applyAlignment="1">
      <alignment horizontal="center" vertical="center" wrapText="1"/>
      <protection/>
    </xf>
    <xf numFmtId="0" fontId="30" fillId="83" borderId="24" xfId="0" applyFont="1" applyFill="1" applyBorder="1" applyAlignment="1">
      <alignment vertical="top" wrapText="1"/>
    </xf>
    <xf numFmtId="0" fontId="71" fillId="3" borderId="24" xfId="0" applyFont="1" applyFill="1" applyBorder="1" applyAlignment="1">
      <alignment vertical="top" wrapText="1"/>
    </xf>
    <xf numFmtId="0" fontId="71" fillId="0" borderId="24" xfId="0" applyFont="1" applyBorder="1" applyAlignment="1">
      <alignment horizontal="left" vertical="top" wrapText="1"/>
    </xf>
    <xf numFmtId="165" fontId="31" fillId="34" borderId="24" xfId="342" applyNumberFormat="1" applyFont="1" applyFill="1" applyBorder="1" applyAlignment="1">
      <alignment horizontal="center" vertical="center"/>
      <protection/>
    </xf>
    <xf numFmtId="4" fontId="31" fillId="34" borderId="24" xfId="342" applyNumberFormat="1" applyFont="1" applyFill="1" applyBorder="1" applyAlignment="1">
      <alignment horizontal="center" vertical="center"/>
      <protection/>
    </xf>
    <xf numFmtId="49" fontId="37" fillId="34" borderId="24" xfId="342" applyNumberFormat="1" applyFont="1" applyFill="1" applyBorder="1" applyAlignment="1">
      <alignment horizontal="center" vertical="center" wrapText="1"/>
      <protection/>
    </xf>
    <xf numFmtId="4" fontId="31" fillId="34" borderId="24" xfId="342" applyNumberFormat="1" applyFont="1" applyFill="1" applyBorder="1" applyAlignment="1">
      <alignment horizontal="center" vertical="center" wrapText="1"/>
      <protection/>
    </xf>
    <xf numFmtId="0" fontId="71" fillId="0" borderId="24" xfId="0" applyFont="1" applyBorder="1" applyAlignment="1">
      <alignment vertical="top" wrapText="1"/>
    </xf>
    <xf numFmtId="185" fontId="29" fillId="34" borderId="25" xfId="362" applyNumberFormat="1" applyFont="1" applyFill="1" applyBorder="1" applyAlignment="1">
      <alignment vertical="center" wrapText="1"/>
    </xf>
    <xf numFmtId="0" fontId="29" fillId="34" borderId="25" xfId="0" applyFont="1" applyFill="1" applyBorder="1" applyAlignment="1">
      <alignment vertical="top" wrapText="1"/>
    </xf>
    <xf numFmtId="185" fontId="29" fillId="34" borderId="24" xfId="362" applyNumberFormat="1" applyFont="1" applyFill="1" applyBorder="1" applyAlignment="1">
      <alignment horizontal="center" vertical="center" textRotation="90"/>
    </xf>
    <xf numFmtId="185" fontId="43" fillId="34" borderId="24" xfId="362" applyNumberFormat="1" applyFont="1" applyFill="1" applyBorder="1" applyAlignment="1">
      <alignment horizontal="center" vertical="center"/>
    </xf>
    <xf numFmtId="185" fontId="29" fillId="34" borderId="24" xfId="362" applyNumberFormat="1" applyFont="1" applyFill="1" applyBorder="1" applyAlignment="1">
      <alignment horizontal="center" vertical="center"/>
    </xf>
    <xf numFmtId="185" fontId="30" fillId="34" borderId="24" xfId="362" applyNumberFormat="1" applyFont="1" applyFill="1" applyBorder="1" applyAlignment="1">
      <alignment horizontal="center" vertical="center"/>
    </xf>
    <xf numFmtId="4" fontId="30" fillId="34" borderId="24" xfId="0" applyNumberFormat="1" applyFont="1" applyFill="1" applyBorder="1" applyAlignment="1">
      <alignment horizontal="center" vertical="center"/>
    </xf>
    <xf numFmtId="0" fontId="34" fillId="34" borderId="0" xfId="0" applyFont="1" applyFill="1" applyAlignment="1">
      <alignment/>
    </xf>
    <xf numFmtId="0" fontId="34" fillId="34" borderId="0" xfId="0" applyFont="1" applyFill="1" applyAlignment="1">
      <alignment horizontal="center"/>
    </xf>
    <xf numFmtId="0" fontId="31" fillId="34" borderId="25" xfId="0" applyFont="1" applyFill="1" applyBorder="1" applyAlignment="1">
      <alignment vertical="top" wrapText="1"/>
    </xf>
    <xf numFmtId="49" fontId="31" fillId="34" borderId="24" xfId="0" applyNumberFormat="1" applyFont="1" applyFill="1" applyBorder="1" applyAlignment="1">
      <alignment horizontal="center" vertical="top" wrapText="1"/>
    </xf>
    <xf numFmtId="0" fontId="31" fillId="34" borderId="25" xfId="0" applyFont="1" applyFill="1" applyBorder="1" applyAlignment="1">
      <alignment horizontal="left" vertical="top" wrapText="1"/>
    </xf>
    <xf numFmtId="0" fontId="29" fillId="83" borderId="33" xfId="342" applyFont="1" applyFill="1" applyBorder="1" applyAlignment="1">
      <alignment vertical="top" wrapText="1"/>
      <protection/>
    </xf>
    <xf numFmtId="0" fontId="29" fillId="83" borderId="34" xfId="342" applyFont="1" applyFill="1" applyBorder="1" applyAlignment="1">
      <alignment vertical="top" wrapText="1"/>
      <protection/>
    </xf>
    <xf numFmtId="0" fontId="29" fillId="83" borderId="36" xfId="342" applyFont="1" applyFill="1" applyBorder="1" applyAlignment="1">
      <alignment horizontal="center" vertical="top" wrapText="1"/>
      <protection/>
    </xf>
    <xf numFmtId="165" fontId="31" fillId="83" borderId="36" xfId="342" applyNumberFormat="1" applyFont="1" applyFill="1" applyBorder="1" applyAlignment="1">
      <alignment horizontal="center" vertical="top"/>
      <protection/>
    </xf>
    <xf numFmtId="0" fontId="30" fillId="83" borderId="36" xfId="0" applyFont="1" applyFill="1" applyBorder="1" applyAlignment="1">
      <alignment horizontal="center" vertical="top" wrapText="1"/>
    </xf>
    <xf numFmtId="0" fontId="30" fillId="83" borderId="37" xfId="0" applyFont="1" applyFill="1" applyBorder="1" applyAlignment="1">
      <alignment vertical="top" wrapText="1"/>
    </xf>
    <xf numFmtId="4" fontId="30" fillId="83" borderId="24" xfId="0" applyNumberFormat="1" applyFont="1" applyFill="1" applyBorder="1" applyAlignment="1">
      <alignment horizontal="center" vertical="center"/>
    </xf>
    <xf numFmtId="165" fontId="31" fillId="34" borderId="24" xfId="342" applyNumberFormat="1" applyFont="1" applyFill="1" applyBorder="1" applyAlignment="1">
      <alignment horizontal="center" vertical="center"/>
      <protection/>
    </xf>
    <xf numFmtId="4" fontId="31" fillId="34" borderId="24" xfId="342" applyNumberFormat="1" applyFont="1" applyFill="1" applyBorder="1" applyAlignment="1">
      <alignment horizontal="center" vertical="center"/>
      <protection/>
    </xf>
    <xf numFmtId="4" fontId="31" fillId="34" borderId="24" xfId="342" applyNumberFormat="1" applyFont="1" applyFill="1" applyBorder="1" applyAlignment="1">
      <alignment horizontal="center" vertical="center" wrapText="1"/>
      <protection/>
    </xf>
    <xf numFmtId="0" fontId="31" fillId="0" borderId="24" xfId="342" applyFont="1" applyFill="1" applyBorder="1" applyAlignment="1">
      <alignment vertical="top" wrapText="1"/>
      <protection/>
    </xf>
    <xf numFmtId="164" fontId="31" fillId="34" borderId="24" xfId="362" applyFont="1" applyFill="1" applyBorder="1" applyAlignment="1">
      <alignment vertical="center" wrapText="1"/>
    </xf>
    <xf numFmtId="2" fontId="31" fillId="34" borderId="24" xfId="362" applyNumberFormat="1" applyFont="1" applyFill="1" applyBorder="1" applyAlignment="1">
      <alignment horizontal="center" vertical="top"/>
    </xf>
    <xf numFmtId="185" fontId="31" fillId="34" borderId="24" xfId="362" applyNumberFormat="1" applyFont="1" applyFill="1" applyBorder="1" applyAlignment="1">
      <alignment horizontal="center" vertical="center" textRotation="90"/>
    </xf>
    <xf numFmtId="164" fontId="31" fillId="34" borderId="24" xfId="362" applyFont="1" applyFill="1" applyBorder="1" applyAlignment="1">
      <alignment horizontal="center" vertical="center"/>
    </xf>
    <xf numFmtId="164" fontId="37" fillId="34" borderId="24" xfId="362" applyFont="1" applyFill="1" applyBorder="1" applyAlignment="1">
      <alignment horizontal="center" vertical="center"/>
    </xf>
    <xf numFmtId="0" fontId="29" fillId="3" borderId="38" xfId="0" applyFont="1" applyFill="1" applyBorder="1" applyAlignment="1">
      <alignment vertical="top" wrapText="1"/>
    </xf>
    <xf numFmtId="0" fontId="29" fillId="3" borderId="36" xfId="0" applyFont="1" applyFill="1" applyBorder="1" applyAlignment="1">
      <alignment vertical="top" wrapText="1"/>
    </xf>
    <xf numFmtId="0" fontId="29" fillId="3" borderId="37" xfId="0" applyFont="1" applyFill="1" applyBorder="1" applyAlignment="1">
      <alignment vertical="top" wrapText="1"/>
    </xf>
    <xf numFmtId="4" fontId="31" fillId="0" borderId="37" xfId="342" applyNumberFormat="1" applyFont="1" applyBorder="1" applyAlignment="1">
      <alignment horizontal="center" vertical="center" textRotation="90"/>
      <protection/>
    </xf>
    <xf numFmtId="4" fontId="31" fillId="19" borderId="24" xfId="342" applyNumberFormat="1" applyFont="1" applyFill="1" applyBorder="1" applyAlignment="1">
      <alignment horizontal="center" vertical="center"/>
      <protection/>
    </xf>
    <xf numFmtId="4" fontId="30" fillId="19" borderId="24" xfId="0" applyNumberFormat="1" applyFont="1" applyFill="1" applyBorder="1" applyAlignment="1">
      <alignment horizontal="center" vertical="center"/>
    </xf>
    <xf numFmtId="4" fontId="31" fillId="34" borderId="37" xfId="342" applyNumberFormat="1" applyFont="1" applyFill="1" applyBorder="1" applyAlignment="1">
      <alignment horizontal="center" vertical="center" textRotation="90"/>
      <protection/>
    </xf>
    <xf numFmtId="0" fontId="31" fillId="34" borderId="24" xfId="342" applyFont="1" applyFill="1" applyBorder="1" applyAlignment="1">
      <alignment horizontal="center" vertical="center"/>
      <protection/>
    </xf>
    <xf numFmtId="165" fontId="29" fillId="34" borderId="24" xfId="342" applyNumberFormat="1" applyFont="1" applyFill="1" applyBorder="1" applyAlignment="1">
      <alignment horizontal="left" vertical="center" wrapText="1"/>
      <protection/>
    </xf>
    <xf numFmtId="49" fontId="31" fillId="34" borderId="24" xfId="342" applyNumberFormat="1" applyFont="1" applyFill="1" applyBorder="1" applyAlignment="1">
      <alignment vertical="top" wrapText="1"/>
      <protection/>
    </xf>
    <xf numFmtId="49" fontId="31" fillId="34" borderId="24" xfId="342" applyNumberFormat="1" applyFont="1" applyFill="1" applyBorder="1" applyAlignment="1">
      <alignment horizontal="center" vertical="top" wrapText="1"/>
      <protection/>
    </xf>
    <xf numFmtId="0" fontId="31" fillId="0" borderId="24" xfId="342" applyFont="1" applyBorder="1" applyAlignment="1">
      <alignment vertical="top" wrapText="1"/>
      <protection/>
    </xf>
    <xf numFmtId="4" fontId="29" fillId="3" borderId="32" xfId="0" applyNumberFormat="1" applyFont="1" applyFill="1" applyBorder="1" applyAlignment="1">
      <alignment horizontal="left" vertical="center" wrapText="1"/>
    </xf>
    <xf numFmtId="4" fontId="29" fillId="3" borderId="32" xfId="0" applyNumberFormat="1" applyFont="1" applyFill="1" applyBorder="1" applyAlignment="1">
      <alignment horizontal="center" vertical="center" textRotation="90"/>
    </xf>
    <xf numFmtId="0" fontId="29" fillId="34" borderId="24" xfId="0" applyFont="1" applyFill="1" applyBorder="1" applyAlignment="1">
      <alignment horizontal="left" vertical="top" wrapText="1"/>
    </xf>
    <xf numFmtId="4" fontId="31" fillId="34" borderId="24" xfId="0" applyNumberFormat="1" applyFont="1" applyFill="1" applyBorder="1" applyAlignment="1">
      <alignment vertical="center"/>
    </xf>
    <xf numFmtId="4" fontId="31" fillId="34" borderId="24" xfId="0" applyNumberFormat="1" applyFont="1" applyFill="1" applyBorder="1" applyAlignment="1">
      <alignment horizontal="center" vertical="center" textRotation="90"/>
    </xf>
    <xf numFmtId="4" fontId="30" fillId="0" borderId="25" xfId="0" applyNumberFormat="1" applyFont="1" applyBorder="1" applyAlignment="1">
      <alignment horizontal="center" vertical="center"/>
    </xf>
    <xf numFmtId="4" fontId="30" fillId="0" borderId="32" xfId="0" applyNumberFormat="1" applyFont="1" applyBorder="1" applyAlignment="1">
      <alignment horizontal="center" vertical="center"/>
    </xf>
    <xf numFmtId="0" fontId="31" fillId="19" borderId="24" xfId="342" applyFont="1" applyFill="1" applyBorder="1" applyAlignment="1">
      <alignment horizontal="center" vertical="center" wrapText="1"/>
      <protection/>
    </xf>
    <xf numFmtId="49" fontId="29" fillId="3" borderId="24" xfId="0" applyNumberFormat="1" applyFont="1" applyFill="1" applyBorder="1" applyAlignment="1">
      <alignment horizontal="center" vertical="top" wrapText="1"/>
    </xf>
    <xf numFmtId="0" fontId="29" fillId="3" borderId="24" xfId="0" applyFont="1" applyFill="1" applyBorder="1" applyAlignment="1">
      <alignment horizontal="left" vertical="top" wrapText="1"/>
    </xf>
    <xf numFmtId="0" fontId="29" fillId="3" borderId="25" xfId="344" applyFont="1" applyFill="1" applyBorder="1" applyAlignment="1">
      <alignment horizontal="left" vertical="top" wrapText="1"/>
      <protection/>
    </xf>
    <xf numFmtId="0" fontId="29" fillId="3" borderId="32" xfId="344" applyFont="1" applyFill="1" applyBorder="1" applyAlignment="1">
      <alignment horizontal="left" vertical="top" wrapText="1"/>
      <protection/>
    </xf>
    <xf numFmtId="49" fontId="29" fillId="3" borderId="26" xfId="0" applyNumberFormat="1" applyFont="1" applyFill="1" applyBorder="1" applyAlignment="1">
      <alignment horizontal="center" vertical="top" wrapText="1"/>
    </xf>
    <xf numFmtId="49" fontId="29" fillId="3" borderId="27" xfId="0" applyNumberFormat="1" applyFont="1" applyFill="1" applyBorder="1" applyAlignment="1">
      <alignment horizontal="center" vertical="top" wrapText="1"/>
    </xf>
    <xf numFmtId="49" fontId="29" fillId="3" borderId="28" xfId="0" applyNumberFormat="1" applyFont="1" applyFill="1" applyBorder="1" applyAlignment="1">
      <alignment horizontal="center" vertical="top" wrapText="1"/>
    </xf>
    <xf numFmtId="49" fontId="29" fillId="3" borderId="33" xfId="0" applyNumberFormat="1" applyFont="1" applyFill="1" applyBorder="1" applyAlignment="1">
      <alignment horizontal="center" vertical="top" wrapText="1"/>
    </xf>
    <xf numFmtId="49" fontId="29" fillId="3" borderId="34" xfId="0" applyNumberFormat="1" applyFont="1" applyFill="1" applyBorder="1" applyAlignment="1">
      <alignment horizontal="center" vertical="top" wrapText="1"/>
    </xf>
    <xf numFmtId="49" fontId="29" fillId="3" borderId="35" xfId="0" applyNumberFormat="1" applyFont="1" applyFill="1" applyBorder="1" applyAlignment="1">
      <alignment horizontal="center" vertical="top" wrapText="1"/>
    </xf>
    <xf numFmtId="4" fontId="30" fillId="3" borderId="25" xfId="0" applyNumberFormat="1" applyFont="1" applyFill="1" applyBorder="1" applyAlignment="1">
      <alignment horizontal="center" vertical="center"/>
    </xf>
    <xf numFmtId="4" fontId="30" fillId="3" borderId="32" xfId="0" applyNumberFormat="1" applyFont="1" applyFill="1" applyBorder="1" applyAlignment="1">
      <alignment horizontal="center" vertical="center"/>
    </xf>
    <xf numFmtId="0" fontId="31" fillId="19" borderId="38" xfId="342" applyFont="1" applyFill="1" applyBorder="1" applyAlignment="1">
      <alignment horizontal="center" vertical="top" wrapText="1"/>
      <protection/>
    </xf>
    <xf numFmtId="0" fontId="31" fillId="19" borderId="36" xfId="342" applyFont="1" applyFill="1" applyBorder="1" applyAlignment="1">
      <alignment horizontal="center" vertical="top" wrapText="1"/>
      <protection/>
    </xf>
    <xf numFmtId="0" fontId="31" fillId="19" borderId="37" xfId="342" applyFont="1" applyFill="1" applyBorder="1" applyAlignment="1">
      <alignment horizontal="center" vertical="top" wrapText="1"/>
      <protection/>
    </xf>
    <xf numFmtId="0" fontId="71" fillId="0" borderId="24" xfId="0" applyFont="1" applyBorder="1" applyAlignment="1">
      <alignment horizontal="left" vertical="top" wrapText="1"/>
    </xf>
    <xf numFmtId="0" fontId="29" fillId="83" borderId="24" xfId="342" applyFont="1" applyFill="1" applyBorder="1" applyAlignment="1">
      <alignment horizontal="center" vertical="top" wrapText="1"/>
      <protection/>
    </xf>
    <xf numFmtId="165" fontId="31" fillId="83" borderId="24" xfId="342" applyNumberFormat="1" applyFont="1" applyFill="1" applyBorder="1" applyAlignment="1">
      <alignment horizontal="center" vertical="top"/>
      <protection/>
    </xf>
    <xf numFmtId="0" fontId="30" fillId="83" borderId="24" xfId="0" applyFont="1" applyFill="1" applyBorder="1" applyAlignment="1">
      <alignment horizontal="center" vertical="top" wrapText="1"/>
    </xf>
    <xf numFmtId="0" fontId="31" fillId="32" borderId="38" xfId="0" applyFont="1" applyFill="1" applyBorder="1" applyAlignment="1">
      <alignment horizontal="center" vertical="center" wrapText="1"/>
    </xf>
    <xf numFmtId="0" fontId="31" fillId="32" borderId="36" xfId="0" applyFont="1" applyFill="1" applyBorder="1" applyAlignment="1">
      <alignment horizontal="center" vertical="center" wrapText="1"/>
    </xf>
    <xf numFmtId="0" fontId="31" fillId="32" borderId="37" xfId="0" applyFont="1" applyFill="1" applyBorder="1" applyAlignment="1">
      <alignment horizontal="center" vertical="center" wrapText="1"/>
    </xf>
    <xf numFmtId="0" fontId="31" fillId="32" borderId="24" xfId="344" applyFont="1" applyFill="1" applyBorder="1" applyAlignment="1">
      <alignment horizontal="center" vertical="center" wrapText="1"/>
      <protection/>
    </xf>
    <xf numFmtId="0" fontId="71" fillId="0" borderId="24" xfId="0" applyFont="1" applyBorder="1" applyAlignment="1">
      <alignment wrapText="1"/>
    </xf>
    <xf numFmtId="0" fontId="71" fillId="0" borderId="24" xfId="0" applyFont="1" applyBorder="1" applyAlignment="1">
      <alignment vertical="top" wrapText="1"/>
    </xf>
    <xf numFmtId="0" fontId="37" fillId="0" borderId="24" xfId="0" applyFont="1" applyBorder="1" applyAlignment="1">
      <alignment horizontal="center" vertical="top" wrapText="1"/>
    </xf>
    <xf numFmtId="0" fontId="31" fillId="0" borderId="24" xfId="0" applyFont="1" applyBorder="1" applyAlignment="1">
      <alignment horizontal="center" vertical="top" wrapText="1"/>
    </xf>
    <xf numFmtId="4" fontId="37" fillId="34" borderId="25" xfId="0" applyNumberFormat="1" applyFont="1" applyFill="1" applyBorder="1" applyAlignment="1">
      <alignment horizontal="center" vertical="center"/>
    </xf>
    <xf numFmtId="4" fontId="37" fillId="34" borderId="32" xfId="0" applyNumberFormat="1" applyFont="1" applyFill="1" applyBorder="1" applyAlignment="1">
      <alignment horizontal="center" vertical="center"/>
    </xf>
    <xf numFmtId="0" fontId="37" fillId="0" borderId="24" xfId="342" applyFont="1" applyFill="1" applyBorder="1" applyAlignment="1">
      <alignment horizontal="center" vertical="top" wrapText="1"/>
      <protection/>
    </xf>
    <xf numFmtId="0" fontId="30" fillId="0" borderId="24" xfId="0" applyFont="1" applyBorder="1" applyAlignment="1">
      <alignment horizontal="center" vertical="top" wrapText="1"/>
    </xf>
    <xf numFmtId="0" fontId="29" fillId="0" borderId="25" xfId="342" applyFont="1" applyBorder="1" applyAlignment="1">
      <alignment horizontal="left" vertical="top" wrapText="1"/>
      <protection/>
    </xf>
    <xf numFmtId="0" fontId="29" fillId="0" borderId="31" xfId="342" applyFont="1" applyBorder="1" applyAlignment="1">
      <alignment horizontal="left" vertical="top" wrapText="1"/>
      <protection/>
    </xf>
    <xf numFmtId="0" fontId="29" fillId="0" borderId="25" xfId="342" applyFont="1" applyBorder="1" applyAlignment="1">
      <alignment vertical="top" wrapText="1"/>
      <protection/>
    </xf>
    <xf numFmtId="0" fontId="29" fillId="0" borderId="31" xfId="342" applyFont="1" applyBorder="1" applyAlignment="1">
      <alignment vertical="top" wrapText="1"/>
      <protection/>
    </xf>
    <xf numFmtId="165" fontId="29" fillId="3" borderId="24" xfId="342" applyNumberFormat="1" applyFont="1" applyFill="1" applyBorder="1" applyAlignment="1">
      <alignment horizontal="center" vertical="top" wrapText="1"/>
      <protection/>
    </xf>
    <xf numFmtId="165" fontId="29" fillId="83" borderId="24" xfId="342" applyNumberFormat="1" applyFont="1" applyFill="1" applyBorder="1" applyAlignment="1">
      <alignment horizontal="center" vertical="top" wrapText="1"/>
      <protection/>
    </xf>
    <xf numFmtId="0" fontId="31" fillId="34" borderId="25" xfId="342" applyFont="1" applyFill="1" applyBorder="1" applyAlignment="1">
      <alignment horizontal="center" vertical="top"/>
      <protection/>
    </xf>
    <xf numFmtId="0" fontId="31" fillId="34" borderId="32" xfId="342" applyFont="1" applyFill="1" applyBorder="1" applyAlignment="1">
      <alignment horizontal="center" vertical="top"/>
      <protection/>
    </xf>
    <xf numFmtId="0" fontId="37" fillId="34" borderId="25" xfId="342" applyFont="1" applyFill="1" applyBorder="1" applyAlignment="1">
      <alignment horizontal="left" vertical="top" wrapText="1"/>
      <protection/>
    </xf>
    <xf numFmtId="0" fontId="37" fillId="34" borderId="32" xfId="342" applyFont="1" applyFill="1" applyBorder="1" applyAlignment="1">
      <alignment horizontal="left" vertical="top" wrapText="1"/>
      <protection/>
    </xf>
    <xf numFmtId="49" fontId="31" fillId="34" borderId="25" xfId="342" applyNumberFormat="1" applyFont="1" applyFill="1" applyBorder="1" applyAlignment="1">
      <alignment horizontal="center" vertical="center" wrapText="1"/>
      <protection/>
    </xf>
    <xf numFmtId="49" fontId="31" fillId="34" borderId="32" xfId="342" applyNumberFormat="1" applyFont="1" applyFill="1" applyBorder="1" applyAlignment="1">
      <alignment horizontal="center" vertical="center" wrapText="1"/>
      <protection/>
    </xf>
    <xf numFmtId="0" fontId="31" fillId="34" borderId="25" xfId="342" applyFont="1" applyFill="1" applyBorder="1" applyAlignment="1">
      <alignment horizontal="left" vertical="top" wrapText="1"/>
      <protection/>
    </xf>
    <xf numFmtId="0" fontId="31" fillId="34" borderId="32" xfId="342" applyFont="1" applyFill="1" applyBorder="1" applyAlignment="1">
      <alignment horizontal="left" vertical="top" wrapText="1"/>
      <protection/>
    </xf>
    <xf numFmtId="0" fontId="29" fillId="83" borderId="24" xfId="0" applyFont="1" applyFill="1" applyBorder="1" applyAlignment="1">
      <alignment horizontal="center" vertical="top" wrapText="1"/>
    </xf>
    <xf numFmtId="0" fontId="29" fillId="12" borderId="38" xfId="347" applyFont="1" applyFill="1" applyBorder="1" applyAlignment="1">
      <alignment horizontal="center" vertical="center" wrapText="1"/>
      <protection/>
    </xf>
    <xf numFmtId="0" fontId="29" fillId="12" borderId="36" xfId="347" applyFont="1" applyFill="1" applyBorder="1" applyAlignment="1">
      <alignment horizontal="center" vertical="center" wrapText="1"/>
      <protection/>
    </xf>
    <xf numFmtId="0" fontId="29" fillId="12" borderId="37" xfId="347" applyFont="1" applyFill="1" applyBorder="1" applyAlignment="1">
      <alignment horizontal="center" vertical="center" wrapText="1"/>
      <protection/>
    </xf>
    <xf numFmtId="0" fontId="29" fillId="3" borderId="24" xfId="344" applyFont="1" applyFill="1" applyBorder="1" applyAlignment="1">
      <alignment horizontal="left" vertical="top" wrapText="1"/>
      <protection/>
    </xf>
    <xf numFmtId="0" fontId="30" fillId="83" borderId="24" xfId="0" applyFont="1" applyFill="1" applyBorder="1" applyAlignment="1">
      <alignment horizontal="left" vertical="top" wrapText="1"/>
    </xf>
    <xf numFmtId="0" fontId="30" fillId="3" borderId="24" xfId="0" applyFont="1" applyFill="1" applyBorder="1" applyAlignment="1">
      <alignment horizontal="center" vertical="top" wrapText="1"/>
    </xf>
    <xf numFmtId="0" fontId="29" fillId="0" borderId="24" xfId="344" applyFont="1" applyFill="1" applyBorder="1" applyAlignment="1">
      <alignment horizontal="left" vertical="top" wrapText="1"/>
      <protection/>
    </xf>
    <xf numFmtId="0" fontId="30" fillId="0" borderId="24" xfId="0" applyFont="1" applyBorder="1" applyAlignment="1">
      <alignment horizontal="left" vertical="top" wrapText="1"/>
    </xf>
    <xf numFmtId="3" fontId="31" fillId="0" borderId="24" xfId="344" applyNumberFormat="1" applyFont="1" applyFill="1" applyBorder="1" applyAlignment="1">
      <alignment horizontal="center" vertical="top" wrapText="1" shrinkToFit="1"/>
      <protection/>
    </xf>
    <xf numFmtId="0" fontId="29" fillId="3" borderId="24" xfId="0" applyFont="1" applyFill="1" applyBorder="1" applyAlignment="1">
      <alignment vertical="top" wrapText="1"/>
    </xf>
    <xf numFmtId="4" fontId="29" fillId="0" borderId="24" xfId="344" applyNumberFormat="1" applyFont="1" applyFill="1" applyBorder="1" applyAlignment="1">
      <alignment horizontal="center" vertical="top" wrapText="1"/>
      <protection/>
    </xf>
    <xf numFmtId="4" fontId="29" fillId="0" borderId="24" xfId="0" applyNumberFormat="1" applyFont="1" applyFill="1" applyBorder="1" applyAlignment="1">
      <alignment horizontal="center" vertical="top" wrapText="1"/>
    </xf>
    <xf numFmtId="0" fontId="29" fillId="3" borderId="24" xfId="345" applyFont="1" applyFill="1" applyBorder="1" applyAlignment="1">
      <alignment vertical="top" wrapText="1"/>
      <protection/>
    </xf>
    <xf numFmtId="0" fontId="30" fillId="83" borderId="24" xfId="0" applyFont="1" applyFill="1" applyBorder="1" applyAlignment="1">
      <alignment vertical="top" wrapText="1"/>
    </xf>
    <xf numFmtId="4" fontId="29" fillId="0" borderId="24" xfId="372" applyNumberFormat="1" applyFont="1" applyFill="1" applyBorder="1" applyAlignment="1" applyProtection="1">
      <alignment vertical="top" wrapText="1"/>
      <protection/>
    </xf>
    <xf numFmtId="0" fontId="30" fillId="0" borderId="24" xfId="0" applyFont="1" applyBorder="1" applyAlignment="1">
      <alignment vertical="top" wrapText="1"/>
    </xf>
    <xf numFmtId="0" fontId="30" fillId="3" borderId="24" xfId="344" applyFont="1" applyFill="1" applyBorder="1" applyAlignment="1">
      <alignment vertical="top" wrapText="1"/>
      <protection/>
    </xf>
    <xf numFmtId="4" fontId="29" fillId="0" borderId="24" xfId="369" applyNumberFormat="1" applyFont="1" applyFill="1" applyBorder="1" applyAlignment="1">
      <alignment vertical="top" wrapText="1"/>
    </xf>
    <xf numFmtId="49" fontId="30" fillId="0" borderId="24" xfId="344" applyNumberFormat="1" applyFont="1" applyFill="1" applyBorder="1" applyAlignment="1">
      <alignment horizontal="center" vertical="top" wrapText="1"/>
      <protection/>
    </xf>
    <xf numFmtId="0" fontId="30" fillId="0" borderId="24" xfId="0" applyFont="1" applyFill="1" applyBorder="1" applyAlignment="1">
      <alignment horizontal="center" vertical="top" wrapText="1"/>
    </xf>
    <xf numFmtId="4" fontId="29" fillId="0" borderId="24" xfId="369" applyNumberFormat="1" applyFont="1" applyFill="1" applyBorder="1" applyAlignment="1">
      <alignment vertical="top"/>
    </xf>
    <xf numFmtId="4" fontId="29" fillId="0" borderId="24" xfId="367" applyNumberFormat="1" applyFont="1" applyFill="1" applyBorder="1" applyAlignment="1">
      <alignment vertical="top" wrapText="1"/>
    </xf>
    <xf numFmtId="2" fontId="29" fillId="3" borderId="24" xfId="0" applyNumberFormat="1" applyFont="1" applyFill="1" applyBorder="1" applyAlignment="1">
      <alignment vertical="top" wrapText="1"/>
    </xf>
    <xf numFmtId="49" fontId="31" fillId="21" borderId="24" xfId="344" applyNumberFormat="1" applyFont="1" applyFill="1" applyBorder="1" applyAlignment="1">
      <alignment horizontal="center" vertical="top" wrapText="1"/>
      <protection/>
    </xf>
    <xf numFmtId="0" fontId="30" fillId="21" borderId="24" xfId="0" applyFont="1" applyFill="1" applyBorder="1" applyAlignment="1">
      <alignment horizontal="center" vertical="top" wrapText="1"/>
    </xf>
    <xf numFmtId="0" fontId="30" fillId="3" borderId="24" xfId="344" applyFont="1" applyFill="1" applyBorder="1" applyAlignment="1">
      <alignment horizontal="left" vertical="top" wrapText="1"/>
      <protection/>
    </xf>
    <xf numFmtId="49" fontId="31" fillId="0" borderId="24" xfId="344" applyNumberFormat="1" applyFont="1" applyFill="1" applyBorder="1" applyAlignment="1">
      <alignment horizontal="center" vertical="top" wrapText="1"/>
      <protection/>
    </xf>
    <xf numFmtId="4" fontId="29" fillId="3" borderId="24" xfId="369" applyNumberFormat="1" applyFont="1" applyFill="1" applyBorder="1" applyAlignment="1">
      <alignment vertical="top" wrapText="1"/>
    </xf>
    <xf numFmtId="4" fontId="29" fillId="3" borderId="24" xfId="365" applyNumberFormat="1" applyFont="1" applyFill="1" applyBorder="1" applyAlignment="1">
      <alignment vertical="top" wrapText="1"/>
    </xf>
    <xf numFmtId="4" fontId="29" fillId="3" borderId="24" xfId="378" applyNumberFormat="1" applyFont="1" applyFill="1" applyBorder="1" applyAlignment="1">
      <alignment vertical="top" wrapText="1"/>
    </xf>
    <xf numFmtId="4" fontId="29" fillId="3" borderId="24" xfId="0" applyNumberFormat="1" applyFont="1" applyFill="1" applyBorder="1" applyAlignment="1">
      <alignment vertical="top" wrapText="1"/>
    </xf>
    <xf numFmtId="0" fontId="29" fillId="3" borderId="24" xfId="344" applyFont="1" applyFill="1" applyBorder="1" applyAlignment="1">
      <alignment vertical="top" wrapText="1"/>
      <protection/>
    </xf>
    <xf numFmtId="49" fontId="29" fillId="3" borderId="24" xfId="365" applyNumberFormat="1" applyFont="1" applyFill="1" applyBorder="1" applyAlignment="1">
      <alignment vertical="top" wrapText="1"/>
    </xf>
    <xf numFmtId="0" fontId="30" fillId="86" borderId="24" xfId="250" applyFont="1" applyFill="1" applyBorder="1" applyAlignment="1">
      <alignment vertical="top" wrapText="1"/>
      <protection/>
    </xf>
    <xf numFmtId="4" fontId="29" fillId="3" borderId="24" xfId="374" applyNumberFormat="1" applyFont="1" applyFill="1" applyBorder="1" applyAlignment="1" applyProtection="1">
      <alignment vertical="top" wrapText="1"/>
      <protection/>
    </xf>
    <xf numFmtId="49" fontId="29" fillId="3" borderId="24" xfId="378" applyNumberFormat="1" applyFont="1" applyFill="1" applyBorder="1" applyAlignment="1">
      <alignment vertical="top" wrapText="1"/>
    </xf>
    <xf numFmtId="4" fontId="29" fillId="3" borderId="24" xfId="381" applyNumberFormat="1" applyFont="1" applyFill="1" applyBorder="1" applyAlignment="1">
      <alignment vertical="top" wrapText="1"/>
    </xf>
    <xf numFmtId="0" fontId="31" fillId="3" borderId="24" xfId="0" applyFont="1" applyFill="1" applyBorder="1" applyAlignment="1">
      <alignment vertical="top" wrapText="1"/>
    </xf>
    <xf numFmtId="4" fontId="29" fillId="3" borderId="24" xfId="383" applyNumberFormat="1" applyFont="1" applyFill="1" applyBorder="1" applyAlignment="1">
      <alignment vertical="top" wrapText="1"/>
    </xf>
    <xf numFmtId="165" fontId="29" fillId="3" borderId="24" xfId="0" applyNumberFormat="1" applyFont="1" applyFill="1" applyBorder="1" applyAlignment="1">
      <alignment vertical="top" wrapText="1"/>
    </xf>
    <xf numFmtId="4" fontId="29" fillId="3" borderId="24" xfId="369" applyNumberFormat="1" applyFont="1" applyFill="1" applyBorder="1" applyAlignment="1">
      <alignment horizontal="left" vertical="top" wrapText="1"/>
    </xf>
    <xf numFmtId="0" fontId="30" fillId="0" borderId="24" xfId="0" applyNumberFormat="1" applyFont="1" applyFill="1" applyBorder="1" applyAlignment="1">
      <alignment vertical="top" wrapText="1"/>
    </xf>
    <xf numFmtId="4" fontId="29" fillId="3" borderId="24" xfId="378" applyNumberFormat="1" applyFont="1" applyFill="1" applyBorder="1" applyAlignment="1">
      <alignment horizontal="left" vertical="top" wrapText="1"/>
    </xf>
    <xf numFmtId="4" fontId="29" fillId="3" borderId="24" xfId="365" applyNumberFormat="1" applyFont="1" applyFill="1" applyBorder="1" applyAlignment="1">
      <alignment horizontal="left" vertical="top" wrapText="1"/>
    </xf>
    <xf numFmtId="4" fontId="29" fillId="3" borderId="24" xfId="369" applyNumberFormat="1" applyFont="1" applyFill="1" applyBorder="1" applyAlignment="1">
      <alignment horizontal="left" vertical="top"/>
    </xf>
    <xf numFmtId="4" fontId="30" fillId="83" borderId="24" xfId="0" applyNumberFormat="1" applyFont="1" applyFill="1" applyBorder="1" applyAlignment="1">
      <alignment horizontal="center" vertical="center"/>
    </xf>
    <xf numFmtId="49" fontId="29" fillId="0" borderId="24" xfId="344" applyNumberFormat="1" applyFont="1" applyFill="1" applyBorder="1" applyAlignment="1">
      <alignment horizontal="center" vertical="top" wrapText="1"/>
      <protection/>
    </xf>
    <xf numFmtId="49" fontId="29" fillId="0" borderId="26" xfId="344" applyNumberFormat="1" applyFont="1" applyFill="1" applyBorder="1" applyAlignment="1">
      <alignment horizontal="center" vertical="top" wrapText="1"/>
      <protection/>
    </xf>
    <xf numFmtId="49" fontId="29" fillId="0" borderId="27" xfId="344" applyNumberFormat="1" applyFont="1" applyFill="1" applyBorder="1" applyAlignment="1">
      <alignment horizontal="center" vertical="top" wrapText="1"/>
      <protection/>
    </xf>
    <xf numFmtId="49" fontId="29" fillId="0" borderId="28" xfId="344" applyNumberFormat="1" applyFont="1" applyFill="1" applyBorder="1" applyAlignment="1">
      <alignment horizontal="center" vertical="top" wrapText="1"/>
      <protection/>
    </xf>
    <xf numFmtId="49" fontId="29" fillId="0" borderId="29" xfId="344" applyNumberFormat="1" applyFont="1" applyFill="1" applyBorder="1" applyAlignment="1">
      <alignment horizontal="center" vertical="top" wrapText="1"/>
      <protection/>
    </xf>
    <xf numFmtId="49" fontId="29" fillId="0" borderId="0" xfId="344" applyNumberFormat="1" applyFont="1" applyFill="1" applyBorder="1" applyAlignment="1">
      <alignment horizontal="center" vertical="top" wrapText="1"/>
      <protection/>
    </xf>
    <xf numFmtId="49" fontId="29" fillId="0" borderId="30" xfId="344" applyNumberFormat="1" applyFont="1" applyFill="1" applyBorder="1" applyAlignment="1">
      <alignment horizontal="center" vertical="top" wrapText="1"/>
      <protection/>
    </xf>
    <xf numFmtId="49" fontId="29" fillId="0" borderId="33" xfId="344" applyNumberFormat="1" applyFont="1" applyFill="1" applyBorder="1" applyAlignment="1">
      <alignment horizontal="center" vertical="top" wrapText="1"/>
      <protection/>
    </xf>
    <xf numFmtId="49" fontId="29" fillId="0" borderId="34" xfId="344" applyNumberFormat="1" applyFont="1" applyFill="1" applyBorder="1" applyAlignment="1">
      <alignment horizontal="center" vertical="top" wrapText="1"/>
      <protection/>
    </xf>
    <xf numFmtId="49" fontId="29" fillId="0" borderId="35" xfId="344" applyNumberFormat="1" applyFont="1" applyFill="1" applyBorder="1" applyAlignment="1">
      <alignment horizontal="center" vertical="top" wrapText="1"/>
      <protection/>
    </xf>
    <xf numFmtId="0" fontId="37" fillId="3" borderId="24" xfId="0" applyFont="1" applyFill="1" applyBorder="1" applyAlignment="1">
      <alignment horizontal="center" vertical="top" wrapText="1"/>
    </xf>
    <xf numFmtId="4" fontId="29" fillId="3" borderId="24" xfId="344" applyNumberFormat="1" applyFont="1" applyFill="1" applyBorder="1" applyAlignment="1">
      <alignment horizontal="center" vertical="top" wrapText="1"/>
      <protection/>
    </xf>
    <xf numFmtId="0" fontId="44" fillId="0" borderId="24" xfId="342" applyFont="1" applyBorder="1" applyAlignment="1">
      <alignment vertical="top" wrapText="1"/>
      <protection/>
    </xf>
    <xf numFmtId="0" fontId="31" fillId="0" borderId="24" xfId="342" applyFont="1" applyFill="1" applyBorder="1" applyAlignment="1">
      <alignment vertical="top" wrapText="1"/>
      <protection/>
    </xf>
    <xf numFmtId="0" fontId="31" fillId="19" borderId="38" xfId="0" applyFont="1" applyFill="1" applyBorder="1" applyAlignment="1">
      <alignment horizontal="center" vertical="center" wrapText="1"/>
    </xf>
    <xf numFmtId="0" fontId="31" fillId="19" borderId="36" xfId="0" applyFont="1" applyFill="1" applyBorder="1" applyAlignment="1">
      <alignment horizontal="center" vertical="center" wrapText="1"/>
    </xf>
    <xf numFmtId="0" fontId="31" fillId="19" borderId="37" xfId="0" applyFont="1" applyFill="1" applyBorder="1" applyAlignment="1">
      <alignment horizontal="center" vertical="center" wrapText="1"/>
    </xf>
    <xf numFmtId="49" fontId="31" fillId="3" borderId="24" xfId="0" applyNumberFormat="1" applyFont="1" applyFill="1" applyBorder="1" applyAlignment="1">
      <alignment horizontal="center" vertical="top" wrapText="1"/>
    </xf>
    <xf numFmtId="0" fontId="31" fillId="3" borderId="26" xfId="0" applyFont="1" applyFill="1" applyBorder="1" applyAlignment="1">
      <alignment horizontal="center" vertical="top" wrapText="1"/>
    </xf>
    <xf numFmtId="0" fontId="31" fillId="3" borderId="27" xfId="0" applyFont="1" applyFill="1" applyBorder="1" applyAlignment="1">
      <alignment horizontal="center" vertical="top" wrapText="1"/>
    </xf>
    <xf numFmtId="0" fontId="31" fillId="3" borderId="28" xfId="0" applyFont="1" applyFill="1" applyBorder="1" applyAlignment="1">
      <alignment horizontal="center" vertical="top" wrapText="1"/>
    </xf>
    <xf numFmtId="0" fontId="29" fillId="3" borderId="25" xfId="0" applyFont="1" applyFill="1" applyBorder="1" applyAlignment="1">
      <alignment horizontal="center" vertical="top" wrapText="1"/>
    </xf>
    <xf numFmtId="0" fontId="29" fillId="3" borderId="31" xfId="0" applyFont="1" applyFill="1" applyBorder="1" applyAlignment="1">
      <alignment horizontal="center" vertical="top" wrapText="1"/>
    </xf>
    <xf numFmtId="0" fontId="29" fillId="3" borderId="32" xfId="0" applyFont="1" applyFill="1" applyBorder="1" applyAlignment="1">
      <alignment horizontal="center" vertical="top" wrapText="1"/>
    </xf>
    <xf numFmtId="165" fontId="29" fillId="3" borderId="25" xfId="0" applyNumberFormat="1" applyFont="1" applyFill="1" applyBorder="1" applyAlignment="1">
      <alignment horizontal="left" vertical="top" wrapText="1"/>
    </xf>
    <xf numFmtId="165" fontId="29" fillId="3" borderId="31" xfId="0" applyNumberFormat="1" applyFont="1" applyFill="1" applyBorder="1" applyAlignment="1">
      <alignment horizontal="left" vertical="top" wrapText="1"/>
    </xf>
    <xf numFmtId="165" fontId="29" fillId="3" borderId="32" xfId="0" applyNumberFormat="1" applyFont="1" applyFill="1" applyBorder="1" applyAlignment="1">
      <alignment horizontal="left" vertical="top" wrapText="1"/>
    </xf>
    <xf numFmtId="0" fontId="29" fillId="3" borderId="26" xfId="0" applyFont="1" applyFill="1" applyBorder="1" applyAlignment="1">
      <alignment horizontal="center" vertical="top" wrapText="1"/>
    </xf>
    <xf numFmtId="0" fontId="29" fillId="3" borderId="27" xfId="0" applyFont="1" applyFill="1" applyBorder="1" applyAlignment="1">
      <alignment horizontal="center" vertical="top" wrapText="1"/>
    </xf>
    <xf numFmtId="0" fontId="29" fillId="3" borderId="28" xfId="0" applyFont="1" applyFill="1" applyBorder="1" applyAlignment="1">
      <alignment horizontal="center" vertical="top" wrapText="1"/>
    </xf>
    <xf numFmtId="0" fontId="29" fillId="3" borderId="29" xfId="0" applyFont="1" applyFill="1" applyBorder="1" applyAlignment="1">
      <alignment horizontal="center" vertical="top" wrapText="1"/>
    </xf>
    <xf numFmtId="0" fontId="29" fillId="3" borderId="0" xfId="0" applyFont="1" applyFill="1" applyBorder="1" applyAlignment="1">
      <alignment horizontal="center" vertical="top" wrapText="1"/>
    </xf>
    <xf numFmtId="0" fontId="29" fillId="3" borderId="30" xfId="0" applyFont="1" applyFill="1" applyBorder="1" applyAlignment="1">
      <alignment horizontal="center" vertical="top" wrapText="1"/>
    </xf>
    <xf numFmtId="0" fontId="29" fillId="3" borderId="33" xfId="0" applyFont="1" applyFill="1" applyBorder="1" applyAlignment="1">
      <alignment horizontal="center" vertical="top" wrapText="1"/>
    </xf>
    <xf numFmtId="0" fontId="29" fillId="3" borderId="34" xfId="0" applyFont="1" applyFill="1" applyBorder="1" applyAlignment="1">
      <alignment horizontal="center" vertical="top" wrapText="1"/>
    </xf>
    <xf numFmtId="0" fontId="29" fillId="3" borderId="35" xfId="0" applyFont="1" applyFill="1" applyBorder="1" applyAlignment="1">
      <alignment horizontal="center" vertical="top" wrapText="1"/>
    </xf>
    <xf numFmtId="0" fontId="29" fillId="3" borderId="25" xfId="0" applyFont="1" applyFill="1" applyBorder="1" applyAlignment="1">
      <alignment horizontal="left" vertical="top" wrapText="1"/>
    </xf>
    <xf numFmtId="0" fontId="29" fillId="3" borderId="32" xfId="0" applyFont="1" applyFill="1" applyBorder="1" applyAlignment="1">
      <alignment horizontal="left" vertical="top" wrapText="1"/>
    </xf>
    <xf numFmtId="0" fontId="29" fillId="0" borderId="25" xfId="0" applyFont="1" applyBorder="1" applyAlignment="1">
      <alignment horizontal="left" vertical="top" wrapText="1"/>
    </xf>
    <xf numFmtId="0" fontId="29" fillId="0" borderId="31" xfId="0" applyFont="1" applyBorder="1" applyAlignment="1">
      <alignment horizontal="left" vertical="top" wrapText="1"/>
    </xf>
    <xf numFmtId="0" fontId="29" fillId="0" borderId="32" xfId="0" applyFont="1" applyBorder="1" applyAlignment="1">
      <alignment horizontal="left" vertical="top" wrapText="1"/>
    </xf>
    <xf numFmtId="0" fontId="29" fillId="0" borderId="26" xfId="0" applyFont="1" applyBorder="1" applyAlignment="1">
      <alignment horizontal="center" vertical="top"/>
    </xf>
    <xf numFmtId="0" fontId="29" fillId="0" borderId="27" xfId="0" applyFont="1" applyBorder="1" applyAlignment="1">
      <alignment horizontal="center" vertical="top"/>
    </xf>
    <xf numFmtId="0" fontId="29" fillId="0" borderId="28" xfId="0" applyFont="1" applyBorder="1" applyAlignment="1">
      <alignment horizontal="center" vertical="top"/>
    </xf>
    <xf numFmtId="0" fontId="29" fillId="0" borderId="29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0" fontId="29" fillId="0" borderId="30" xfId="0" applyFont="1" applyBorder="1" applyAlignment="1">
      <alignment horizontal="center" vertical="top"/>
    </xf>
    <xf numFmtId="0" fontId="29" fillId="0" borderId="33" xfId="0" applyFont="1" applyBorder="1" applyAlignment="1">
      <alignment horizontal="center" vertical="top"/>
    </xf>
    <xf numFmtId="0" fontId="29" fillId="0" borderId="34" xfId="0" applyFont="1" applyBorder="1" applyAlignment="1">
      <alignment horizontal="center" vertical="top"/>
    </xf>
    <xf numFmtId="0" fontId="29" fillId="0" borderId="35" xfId="0" applyFont="1" applyBorder="1" applyAlignment="1">
      <alignment horizontal="center" vertical="top"/>
    </xf>
    <xf numFmtId="0" fontId="29" fillId="12" borderId="24" xfId="0" applyFont="1" applyFill="1" applyBorder="1" applyAlignment="1">
      <alignment horizontal="center" vertical="top"/>
    </xf>
    <xf numFmtId="0" fontId="29" fillId="3" borderId="24" xfId="333" applyFont="1" applyFill="1" applyBorder="1" applyAlignment="1">
      <alignment horizontal="left" vertical="top" wrapText="1"/>
      <protection/>
    </xf>
    <xf numFmtId="49" fontId="31" fillId="3" borderId="24" xfId="333" applyNumberFormat="1" applyFont="1" applyFill="1" applyBorder="1" applyAlignment="1">
      <alignment horizontal="center" vertical="top" wrapText="1"/>
      <protection/>
    </xf>
    <xf numFmtId="0" fontId="31" fillId="3" borderId="24" xfId="333" applyFont="1" applyFill="1" applyBorder="1" applyAlignment="1">
      <alignment horizontal="center" vertical="top" wrapText="1"/>
      <protection/>
    </xf>
    <xf numFmtId="4" fontId="29" fillId="3" borderId="24" xfId="333" applyNumberFormat="1" applyFont="1" applyFill="1" applyBorder="1" applyAlignment="1">
      <alignment horizontal="center" vertical="center" textRotation="90" wrapText="1"/>
      <protection/>
    </xf>
    <xf numFmtId="0" fontId="29" fillId="3" borderId="24" xfId="333" applyFont="1" applyFill="1" applyBorder="1" applyAlignment="1">
      <alignment vertical="top" wrapText="1"/>
      <protection/>
    </xf>
    <xf numFmtId="3" fontId="31" fillId="3" borderId="24" xfId="333" applyNumberFormat="1" applyFont="1" applyFill="1" applyBorder="1" applyAlignment="1">
      <alignment horizontal="center" vertical="top" wrapText="1"/>
      <protection/>
    </xf>
    <xf numFmtId="0" fontId="29" fillId="3" borderId="24" xfId="333" applyFont="1" applyFill="1" applyBorder="1" applyAlignment="1">
      <alignment horizontal="center" vertical="top" wrapText="1"/>
      <protection/>
    </xf>
    <xf numFmtId="4" fontId="31" fillId="3" borderId="24" xfId="333" applyNumberFormat="1" applyFont="1" applyFill="1" applyBorder="1" applyAlignment="1">
      <alignment horizontal="center" vertical="top" wrapText="1"/>
      <protection/>
    </xf>
    <xf numFmtId="0" fontId="29" fillId="0" borderId="24" xfId="333" applyFont="1" applyBorder="1" applyAlignment="1">
      <alignment horizontal="center" vertical="top" wrapText="1"/>
      <protection/>
    </xf>
    <xf numFmtId="0" fontId="31" fillId="0" borderId="24" xfId="333" applyFont="1" applyBorder="1" applyAlignment="1">
      <alignment horizontal="left" vertical="top" wrapText="1"/>
      <protection/>
    </xf>
    <xf numFmtId="4" fontId="31" fillId="3" borderId="24" xfId="362" applyNumberFormat="1" applyFont="1" applyFill="1" applyBorder="1" applyAlignment="1">
      <alignment horizontal="center" vertical="top" wrapText="1"/>
    </xf>
    <xf numFmtId="165" fontId="31" fillId="3" borderId="24" xfId="348" applyNumberFormat="1" applyFont="1" applyFill="1" applyBorder="1" applyAlignment="1">
      <alignment horizontal="center" vertical="top" wrapText="1"/>
      <protection/>
    </xf>
    <xf numFmtId="0" fontId="31" fillId="0" borderId="24" xfId="333" applyFont="1" applyBorder="1" applyAlignment="1">
      <alignment horizontal="center" vertical="top" wrapText="1"/>
      <protection/>
    </xf>
    <xf numFmtId="0" fontId="37" fillId="0" borderId="24" xfId="333" applyFont="1" applyBorder="1" applyAlignment="1">
      <alignment horizontal="center" vertical="top" wrapText="1"/>
      <protection/>
    </xf>
    <xf numFmtId="0" fontId="31" fillId="0" borderId="24" xfId="333" applyFont="1" applyFill="1" applyBorder="1" applyAlignment="1">
      <alignment vertical="top" wrapText="1"/>
      <protection/>
    </xf>
    <xf numFmtId="165" fontId="31" fillId="3" borderId="24" xfId="375" applyNumberFormat="1" applyFont="1" applyFill="1" applyBorder="1" applyAlignment="1">
      <alignment horizontal="center" vertical="top" wrapText="1"/>
    </xf>
    <xf numFmtId="0" fontId="29" fillId="0" borderId="24" xfId="333" applyFont="1" applyBorder="1" applyAlignment="1">
      <alignment vertical="top" wrapText="1"/>
      <protection/>
    </xf>
    <xf numFmtId="0" fontId="31" fillId="0" borderId="24" xfId="333" applyFont="1" applyFill="1" applyBorder="1" applyAlignment="1">
      <alignment horizontal="left" vertical="top" wrapText="1"/>
      <protection/>
    </xf>
    <xf numFmtId="4" fontId="31" fillId="0" borderId="24" xfId="333" applyNumberFormat="1" applyFont="1" applyFill="1" applyBorder="1" applyAlignment="1">
      <alignment horizontal="center" vertical="top" wrapText="1"/>
      <protection/>
    </xf>
    <xf numFmtId="165" fontId="31" fillId="0" borderId="24" xfId="333" applyNumberFormat="1" applyFont="1" applyFill="1" applyBorder="1" applyAlignment="1">
      <alignment horizontal="center" vertical="top" wrapText="1"/>
      <protection/>
    </xf>
    <xf numFmtId="49" fontId="37" fillId="3" borderId="24" xfId="333" applyNumberFormat="1" applyFont="1" applyFill="1" applyBorder="1" applyAlignment="1">
      <alignment horizontal="center" vertical="top" wrapText="1"/>
      <protection/>
    </xf>
    <xf numFmtId="4" fontId="31" fillId="0" borderId="24" xfId="333" applyNumberFormat="1" applyFont="1" applyBorder="1" applyAlignment="1">
      <alignment horizontal="center" vertical="top" wrapText="1"/>
      <protection/>
    </xf>
    <xf numFmtId="165" fontId="31" fillId="3" borderId="24" xfId="333" applyNumberFormat="1" applyFont="1" applyFill="1" applyBorder="1" applyAlignment="1">
      <alignment horizontal="center" vertical="top" wrapText="1"/>
      <protection/>
    </xf>
    <xf numFmtId="0" fontId="37" fillId="22" borderId="24" xfId="0" applyFont="1" applyFill="1" applyBorder="1" applyAlignment="1">
      <alignment horizontal="center" vertical="top" wrapText="1"/>
    </xf>
    <xf numFmtId="0" fontId="31" fillId="19" borderId="38" xfId="333" applyFont="1" applyFill="1" applyBorder="1" applyAlignment="1">
      <alignment horizontal="center" vertical="center" wrapText="1"/>
      <protection/>
    </xf>
    <xf numFmtId="0" fontId="31" fillId="19" borderId="36" xfId="333" applyFont="1" applyFill="1" applyBorder="1" applyAlignment="1">
      <alignment horizontal="center" vertical="center" wrapText="1"/>
      <protection/>
    </xf>
    <xf numFmtId="0" fontId="29" fillId="0" borderId="25" xfId="333" applyFont="1" applyFill="1" applyBorder="1" applyAlignment="1">
      <alignment horizontal="left" vertical="top" wrapText="1"/>
      <protection/>
    </xf>
    <xf numFmtId="0" fontId="29" fillId="0" borderId="31" xfId="333" applyFont="1" applyFill="1" applyBorder="1" applyAlignment="1">
      <alignment horizontal="left" vertical="top" wrapText="1"/>
      <protection/>
    </xf>
    <xf numFmtId="0" fontId="29" fillId="0" borderId="32" xfId="333" applyFont="1" applyFill="1" applyBorder="1" applyAlignment="1">
      <alignment horizontal="left" vertical="top" wrapText="1"/>
      <protection/>
    </xf>
    <xf numFmtId="43" fontId="29" fillId="3" borderId="26" xfId="333" applyNumberFormat="1" applyFont="1" applyFill="1" applyBorder="1" applyAlignment="1">
      <alignment horizontal="center" vertical="top" wrapText="1"/>
      <protection/>
    </xf>
    <xf numFmtId="43" fontId="29" fillId="3" borderId="27" xfId="333" applyNumberFormat="1" applyFont="1" applyFill="1" applyBorder="1" applyAlignment="1">
      <alignment horizontal="center" vertical="top" wrapText="1"/>
      <protection/>
    </xf>
    <xf numFmtId="43" fontId="29" fillId="3" borderId="28" xfId="333" applyNumberFormat="1" applyFont="1" applyFill="1" applyBorder="1" applyAlignment="1">
      <alignment horizontal="center" vertical="top" wrapText="1"/>
      <protection/>
    </xf>
    <xf numFmtId="43" fontId="29" fillId="3" borderId="29" xfId="333" applyNumberFormat="1" applyFont="1" applyFill="1" applyBorder="1" applyAlignment="1">
      <alignment horizontal="center" vertical="top" wrapText="1"/>
      <protection/>
    </xf>
    <xf numFmtId="43" fontId="29" fillId="3" borderId="0" xfId="333" applyNumberFormat="1" applyFont="1" applyFill="1" applyBorder="1" applyAlignment="1">
      <alignment horizontal="center" vertical="top" wrapText="1"/>
      <protection/>
    </xf>
    <xf numFmtId="43" fontId="29" fillId="3" borderId="30" xfId="333" applyNumberFormat="1" applyFont="1" applyFill="1" applyBorder="1" applyAlignment="1">
      <alignment horizontal="center" vertical="top" wrapText="1"/>
      <protection/>
    </xf>
    <xf numFmtId="43" fontId="29" fillId="3" borderId="33" xfId="333" applyNumberFormat="1" applyFont="1" applyFill="1" applyBorder="1" applyAlignment="1">
      <alignment horizontal="center" vertical="top" wrapText="1"/>
      <protection/>
    </xf>
    <xf numFmtId="43" fontId="29" fillId="3" borderId="34" xfId="333" applyNumberFormat="1" applyFont="1" applyFill="1" applyBorder="1" applyAlignment="1">
      <alignment horizontal="center" vertical="top" wrapText="1"/>
      <protection/>
    </xf>
    <xf numFmtId="43" fontId="29" fillId="3" borderId="35" xfId="333" applyNumberFormat="1" applyFont="1" applyFill="1" applyBorder="1" applyAlignment="1">
      <alignment horizontal="center" vertical="top" wrapText="1"/>
      <protection/>
    </xf>
    <xf numFmtId="0" fontId="31" fillId="3" borderId="24" xfId="333" applyFont="1" applyFill="1" applyBorder="1" applyAlignment="1">
      <alignment horizontal="left" vertical="top" wrapText="1"/>
      <protection/>
    </xf>
    <xf numFmtId="0" fontId="31" fillId="3" borderId="25" xfId="333" applyFont="1" applyFill="1" applyBorder="1" applyAlignment="1">
      <alignment horizontal="left" vertical="top" wrapText="1"/>
      <protection/>
    </xf>
    <xf numFmtId="0" fontId="31" fillId="3" borderId="32" xfId="333" applyFont="1" applyFill="1" applyBorder="1" applyAlignment="1">
      <alignment horizontal="left" vertical="top" wrapText="1"/>
      <protection/>
    </xf>
    <xf numFmtId="49" fontId="29" fillId="3" borderId="24" xfId="342" applyNumberFormat="1" applyFont="1" applyFill="1" applyBorder="1" applyAlignment="1">
      <alignment horizontal="center" vertical="top" wrapText="1"/>
      <protection/>
    </xf>
    <xf numFmtId="0" fontId="29" fillId="3" borderId="24" xfId="342" applyFont="1" applyFill="1" applyBorder="1" applyAlignment="1">
      <alignment vertical="top" wrapText="1"/>
      <protection/>
    </xf>
    <xf numFmtId="2" fontId="29" fillId="3" borderId="25" xfId="0" applyNumberFormat="1" applyFont="1" applyFill="1" applyBorder="1" applyAlignment="1">
      <alignment horizontal="center" vertical="center" wrapText="1"/>
    </xf>
    <xf numFmtId="2" fontId="29" fillId="3" borderId="31" xfId="0" applyNumberFormat="1" applyFont="1" applyFill="1" applyBorder="1" applyAlignment="1">
      <alignment horizontal="center" vertical="center" wrapText="1"/>
    </xf>
    <xf numFmtId="2" fontId="29" fillId="3" borderId="32" xfId="0" applyNumberFormat="1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center" vertical="center" wrapText="1"/>
    </xf>
    <xf numFmtId="0" fontId="29" fillId="3" borderId="31" xfId="0" applyFont="1" applyFill="1" applyBorder="1" applyAlignment="1">
      <alignment horizontal="center" vertical="center" wrapText="1"/>
    </xf>
    <xf numFmtId="0" fontId="29" fillId="3" borderId="32" xfId="0" applyFont="1" applyFill="1" applyBorder="1" applyAlignment="1">
      <alignment horizontal="center" vertical="center" wrapText="1"/>
    </xf>
    <xf numFmtId="0" fontId="29" fillId="0" borderId="24" xfId="342" applyFont="1" applyFill="1" applyBorder="1" applyAlignment="1">
      <alignment horizontal="left" vertical="top" wrapText="1"/>
      <protection/>
    </xf>
    <xf numFmtId="49" fontId="37" fillId="3" borderId="24" xfId="342" applyNumberFormat="1" applyFont="1" applyFill="1" applyBorder="1" applyAlignment="1">
      <alignment horizontal="center" vertical="top" wrapText="1"/>
      <protection/>
    </xf>
    <xf numFmtId="0" fontId="71" fillId="3" borderId="24" xfId="0" applyFont="1" applyFill="1" applyBorder="1" applyAlignment="1">
      <alignment horizontal="center" vertical="top" wrapText="1"/>
    </xf>
    <xf numFmtId="0" fontId="31" fillId="3" borderId="24" xfId="342" applyFont="1" applyFill="1" applyBorder="1" applyAlignment="1">
      <alignment horizontal="left" vertical="top" wrapText="1"/>
      <protection/>
    </xf>
    <xf numFmtId="0" fontId="71" fillId="3" borderId="24" xfId="0" applyFont="1" applyFill="1" applyBorder="1" applyAlignment="1">
      <alignment vertical="top" wrapText="1"/>
    </xf>
    <xf numFmtId="4" fontId="29" fillId="3" borderId="24" xfId="362" applyNumberFormat="1" applyFont="1" applyFill="1" applyBorder="1" applyAlignment="1">
      <alignment horizontal="center" vertical="top" wrapText="1"/>
    </xf>
    <xf numFmtId="4" fontId="71" fillId="3" borderId="24" xfId="0" applyNumberFormat="1" applyFont="1" applyFill="1" applyBorder="1" applyAlignment="1">
      <alignment horizontal="center" vertical="top" wrapText="1"/>
    </xf>
    <xf numFmtId="164" fontId="31" fillId="3" borderId="24" xfId="362" applyNumberFormat="1" applyFont="1" applyFill="1" applyBorder="1" applyAlignment="1">
      <alignment horizontal="center" vertical="top" wrapText="1"/>
    </xf>
    <xf numFmtId="0" fontId="29" fillId="3" borderId="24" xfId="342" applyFont="1" applyFill="1" applyBorder="1" applyAlignment="1">
      <alignment horizontal="center" vertical="top" wrapText="1"/>
      <protection/>
    </xf>
    <xf numFmtId="4" fontId="31" fillId="34" borderId="24" xfId="342" applyNumberFormat="1" applyFont="1" applyFill="1" applyBorder="1" applyAlignment="1">
      <alignment horizontal="center" vertical="center"/>
      <protection/>
    </xf>
    <xf numFmtId="2" fontId="30" fillId="3" borderId="25" xfId="362" applyNumberFormat="1" applyFont="1" applyFill="1" applyBorder="1" applyAlignment="1">
      <alignment horizontal="left" vertical="top" wrapText="1"/>
    </xf>
    <xf numFmtId="2" fontId="30" fillId="3" borderId="31" xfId="362" applyNumberFormat="1" applyFont="1" applyFill="1" applyBorder="1" applyAlignment="1">
      <alignment horizontal="left" vertical="top" wrapText="1"/>
    </xf>
    <xf numFmtId="2" fontId="30" fillId="3" borderId="32" xfId="362" applyNumberFormat="1" applyFont="1" applyFill="1" applyBorder="1" applyAlignment="1">
      <alignment horizontal="left" vertical="top" wrapText="1"/>
    </xf>
    <xf numFmtId="165" fontId="31" fillId="34" borderId="24" xfId="342" applyNumberFormat="1" applyFont="1" applyFill="1" applyBorder="1" applyAlignment="1">
      <alignment horizontal="center" vertical="center"/>
      <protection/>
    </xf>
    <xf numFmtId="2" fontId="29" fillId="34" borderId="25" xfId="342" applyNumberFormat="1" applyFont="1" applyFill="1" applyBorder="1" applyAlignment="1">
      <alignment horizontal="center" vertical="center" wrapText="1"/>
      <protection/>
    </xf>
    <xf numFmtId="2" fontId="29" fillId="34" borderId="32" xfId="342" applyNumberFormat="1" applyFont="1" applyFill="1" applyBorder="1" applyAlignment="1">
      <alignment horizontal="center" vertical="center" wrapText="1"/>
      <protection/>
    </xf>
    <xf numFmtId="0" fontId="29" fillId="34" borderId="24" xfId="342" applyFont="1" applyFill="1" applyBorder="1" applyAlignment="1">
      <alignment horizontal="center" vertical="center" textRotation="90"/>
      <protection/>
    </xf>
    <xf numFmtId="49" fontId="37" fillId="34" borderId="24" xfId="342" applyNumberFormat="1" applyFont="1" applyFill="1" applyBorder="1" applyAlignment="1">
      <alignment horizontal="center" vertical="center" wrapText="1"/>
      <protection/>
    </xf>
    <xf numFmtId="0" fontId="31" fillId="34" borderId="25" xfId="342" applyFont="1" applyFill="1" applyBorder="1" applyAlignment="1">
      <alignment vertical="top" wrapText="1"/>
      <protection/>
    </xf>
    <xf numFmtId="0" fontId="31" fillId="34" borderId="32" xfId="342" applyFont="1" applyFill="1" applyBorder="1" applyAlignment="1">
      <alignment vertical="top" wrapText="1"/>
      <protection/>
    </xf>
    <xf numFmtId="4" fontId="31" fillId="34" borderId="24" xfId="342" applyNumberFormat="1" applyFont="1" applyFill="1" applyBorder="1" applyAlignment="1">
      <alignment horizontal="center" vertical="center" wrapText="1"/>
      <protection/>
    </xf>
    <xf numFmtId="0" fontId="29" fillId="34" borderId="24" xfId="342" applyFont="1" applyFill="1" applyBorder="1" applyAlignment="1">
      <alignment horizontal="center" vertical="center" wrapText="1"/>
      <protection/>
    </xf>
    <xf numFmtId="0" fontId="37" fillId="3" borderId="24" xfId="342" applyFont="1" applyFill="1" applyBorder="1" applyAlignment="1">
      <alignment horizontal="center" vertical="top" wrapText="1"/>
      <protection/>
    </xf>
    <xf numFmtId="4" fontId="31" fillId="3" borderId="24" xfId="342" applyNumberFormat="1" applyFont="1" applyFill="1" applyBorder="1" applyAlignment="1">
      <alignment horizontal="center" vertical="top" wrapText="1"/>
      <protection/>
    </xf>
    <xf numFmtId="0" fontId="71" fillId="3" borderId="24" xfId="0" applyFont="1" applyFill="1" applyBorder="1" applyAlignment="1">
      <alignment horizontal="left" vertical="top" wrapText="1"/>
    </xf>
    <xf numFmtId="185" fontId="31" fillId="3" borderId="24" xfId="362" applyNumberFormat="1" applyFont="1" applyFill="1" applyBorder="1" applyAlignment="1">
      <alignment horizontal="center" vertical="top" wrapText="1"/>
    </xf>
    <xf numFmtId="164" fontId="29" fillId="3" borderId="24" xfId="362" applyFont="1" applyFill="1" applyBorder="1" applyAlignment="1">
      <alignment horizontal="center" vertical="center" wrapText="1"/>
    </xf>
    <xf numFmtId="0" fontId="29" fillId="3" borderId="24" xfId="342" applyFont="1" applyFill="1" applyBorder="1" applyAlignment="1">
      <alignment horizontal="center" vertical="center" wrapText="1"/>
      <protection/>
    </xf>
    <xf numFmtId="4" fontId="30" fillId="3" borderId="24" xfId="0" applyNumberFormat="1" applyFont="1" applyFill="1" applyBorder="1" applyAlignment="1">
      <alignment horizontal="center" vertical="top" wrapText="1"/>
    </xf>
    <xf numFmtId="0" fontId="29" fillId="3" borderId="24" xfId="342" applyFont="1" applyFill="1" applyBorder="1" applyAlignment="1">
      <alignment horizontal="left" vertical="top" wrapText="1"/>
      <protection/>
    </xf>
    <xf numFmtId="167" fontId="29" fillId="3" borderId="24" xfId="342" applyNumberFormat="1" applyFont="1" applyFill="1" applyBorder="1" applyAlignment="1">
      <alignment horizontal="center" vertical="top" wrapText="1"/>
      <protection/>
    </xf>
    <xf numFmtId="4" fontId="29" fillId="83" borderId="24" xfId="362" applyNumberFormat="1" applyFont="1" applyFill="1" applyBorder="1" applyAlignment="1">
      <alignment horizontal="center" vertical="center" wrapText="1"/>
    </xf>
    <xf numFmtId="0" fontId="37" fillId="3" borderId="24" xfId="342" applyFont="1" applyFill="1" applyBorder="1" applyAlignment="1">
      <alignment vertical="top" wrapText="1"/>
      <protection/>
    </xf>
    <xf numFmtId="164" fontId="31" fillId="3" borderId="24" xfId="362" applyFont="1" applyFill="1" applyBorder="1" applyAlignment="1">
      <alignment horizontal="center" vertical="top" wrapText="1"/>
    </xf>
    <xf numFmtId="0" fontId="31" fillId="3" borderId="24" xfId="342" applyFont="1" applyFill="1" applyBorder="1" applyAlignment="1">
      <alignment horizontal="center" vertical="top" wrapText="1"/>
      <protection/>
    </xf>
    <xf numFmtId="0" fontId="31" fillId="3" borderId="24" xfId="342" applyFont="1" applyFill="1" applyBorder="1" applyAlignment="1">
      <alignment vertical="top" wrapText="1"/>
      <protection/>
    </xf>
    <xf numFmtId="4" fontId="31" fillId="83" borderId="24" xfId="362" applyNumberFormat="1" applyFont="1" applyFill="1" applyBorder="1" applyAlignment="1">
      <alignment horizontal="center" vertical="center" wrapText="1"/>
    </xf>
    <xf numFmtId="4" fontId="31" fillId="3" borderId="24" xfId="342" applyNumberFormat="1" applyFont="1" applyFill="1" applyBorder="1" applyAlignment="1">
      <alignment horizontal="center" vertical="center" wrapText="1"/>
      <protection/>
    </xf>
    <xf numFmtId="0" fontId="31" fillId="3" borderId="25" xfId="342" applyFont="1" applyFill="1" applyBorder="1" applyAlignment="1">
      <alignment horizontal="left" vertical="top" wrapText="1"/>
      <protection/>
    </xf>
    <xf numFmtId="0" fontId="31" fillId="3" borderId="31" xfId="342" applyFont="1" applyFill="1" applyBorder="1" applyAlignment="1">
      <alignment horizontal="left" vertical="top" wrapText="1"/>
      <protection/>
    </xf>
    <xf numFmtId="165" fontId="31" fillId="0" borderId="38" xfId="342" applyNumberFormat="1" applyFont="1" applyBorder="1" applyAlignment="1">
      <alignment horizontal="center" vertical="center" wrapText="1"/>
      <protection/>
    </xf>
    <xf numFmtId="165" fontId="31" fillId="0" borderId="37" xfId="342" applyNumberFormat="1" applyFont="1" applyBorder="1" applyAlignment="1">
      <alignment horizontal="center" vertical="center" wrapText="1"/>
      <protection/>
    </xf>
    <xf numFmtId="49" fontId="31" fillId="0" borderId="24" xfId="342" applyNumberFormat="1" applyFont="1" applyBorder="1" applyAlignment="1">
      <alignment horizontal="center" vertical="center" wrapText="1"/>
      <protection/>
    </xf>
    <xf numFmtId="0" fontId="31" fillId="0" borderId="24" xfId="342" applyFont="1" applyBorder="1" applyAlignment="1">
      <alignment horizontal="center" vertical="center" wrapText="1"/>
      <protection/>
    </xf>
    <xf numFmtId="0" fontId="37" fillId="0" borderId="38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1" fillId="84" borderId="24" xfId="0" applyFont="1" applyFill="1" applyBorder="1" applyAlignment="1">
      <alignment horizontal="center" vertical="center" wrapText="1"/>
    </xf>
    <xf numFmtId="0" fontId="31" fillId="35" borderId="38" xfId="342" applyFont="1" applyFill="1" applyBorder="1" applyAlignment="1">
      <alignment horizontal="center" vertical="center" wrapText="1"/>
      <protection/>
    </xf>
    <xf numFmtId="0" fontId="31" fillId="35" borderId="36" xfId="342" applyFont="1" applyFill="1" applyBorder="1" applyAlignment="1">
      <alignment horizontal="center" vertical="center" wrapText="1"/>
      <protection/>
    </xf>
    <xf numFmtId="0" fontId="31" fillId="35" borderId="37" xfId="342" applyFont="1" applyFill="1" applyBorder="1" applyAlignment="1">
      <alignment horizontal="center" vertical="center" wrapText="1"/>
      <protection/>
    </xf>
    <xf numFmtId="0" fontId="31" fillId="15" borderId="24" xfId="342" applyFont="1" applyFill="1" applyBorder="1" applyAlignment="1">
      <alignment horizontal="left" vertical="center" wrapText="1"/>
      <protection/>
    </xf>
    <xf numFmtId="0" fontId="31" fillId="3" borderId="33" xfId="0" applyFont="1" applyFill="1" applyBorder="1" applyAlignment="1">
      <alignment horizontal="center" vertical="top" wrapText="1"/>
    </xf>
    <xf numFmtId="0" fontId="31" fillId="3" borderId="34" xfId="0" applyFont="1" applyFill="1" applyBorder="1" applyAlignment="1">
      <alignment horizontal="center" vertical="top" wrapText="1"/>
    </xf>
    <xf numFmtId="0" fontId="31" fillId="3" borderId="35" xfId="0" applyFont="1" applyFill="1" applyBorder="1" applyAlignment="1">
      <alignment horizontal="center" vertical="top" wrapText="1"/>
    </xf>
    <xf numFmtId="0" fontId="31" fillId="15" borderId="38" xfId="342" applyFont="1" applyFill="1" applyBorder="1" applyAlignment="1">
      <alignment horizontal="left" vertical="center" wrapText="1"/>
      <protection/>
    </xf>
    <xf numFmtId="0" fontId="31" fillId="15" borderId="36" xfId="342" applyFont="1" applyFill="1" applyBorder="1" applyAlignment="1">
      <alignment horizontal="left" vertical="center" wrapText="1"/>
      <protection/>
    </xf>
    <xf numFmtId="0" fontId="31" fillId="15" borderId="37" xfId="342" applyFont="1" applyFill="1" applyBorder="1" applyAlignment="1">
      <alignment horizontal="left" vertical="center" wrapText="1"/>
      <protection/>
    </xf>
    <xf numFmtId="166" fontId="29" fillId="3" borderId="24" xfId="379" applyFont="1" applyFill="1" applyBorder="1" applyAlignment="1">
      <alignment vertical="top" wrapText="1"/>
    </xf>
    <xf numFmtId="0" fontId="29" fillId="3" borderId="26" xfId="342" applyFont="1" applyFill="1" applyBorder="1" applyAlignment="1">
      <alignment horizontal="center" vertical="top" wrapText="1"/>
      <protection/>
    </xf>
    <xf numFmtId="0" fontId="29" fillId="3" borderId="27" xfId="342" applyFont="1" applyFill="1" applyBorder="1" applyAlignment="1">
      <alignment horizontal="center" vertical="top" wrapText="1"/>
      <protection/>
    </xf>
    <xf numFmtId="0" fontId="29" fillId="3" borderId="28" xfId="342" applyFont="1" applyFill="1" applyBorder="1" applyAlignment="1">
      <alignment horizontal="center" vertical="top" wrapText="1"/>
      <protection/>
    </xf>
    <xf numFmtId="0" fontId="29" fillId="3" borderId="29" xfId="342" applyFont="1" applyFill="1" applyBorder="1" applyAlignment="1">
      <alignment horizontal="center" vertical="top" wrapText="1"/>
      <protection/>
    </xf>
    <xf numFmtId="0" fontId="29" fillId="3" borderId="0" xfId="342" applyFont="1" applyFill="1" applyBorder="1" applyAlignment="1">
      <alignment horizontal="center" vertical="top" wrapText="1"/>
      <protection/>
    </xf>
    <xf numFmtId="0" fontId="29" fillId="3" borderId="30" xfId="342" applyFont="1" applyFill="1" applyBorder="1" applyAlignment="1">
      <alignment horizontal="center" vertical="top" wrapText="1"/>
      <protection/>
    </xf>
    <xf numFmtId="165" fontId="6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vertical="center" wrapText="1"/>
    </xf>
    <xf numFmtId="165" fontId="3" fillId="0" borderId="33" xfId="342" applyNumberFormat="1" applyFont="1" applyBorder="1" applyAlignment="1">
      <alignment horizontal="center" vertical="center" wrapText="1"/>
      <protection/>
    </xf>
    <xf numFmtId="165" fontId="3" fillId="0" borderId="34" xfId="342" applyNumberFormat="1" applyFont="1" applyBorder="1" applyAlignment="1">
      <alignment horizontal="center" vertical="center" wrapText="1"/>
      <protection/>
    </xf>
    <xf numFmtId="4" fontId="31" fillId="0" borderId="24" xfId="342" applyNumberFormat="1" applyFont="1" applyBorder="1" applyAlignment="1">
      <alignment horizontal="center" vertical="center" wrapText="1"/>
      <protection/>
    </xf>
  </cellXfs>
  <cellStyles count="372">
    <cellStyle name="Normal" xfId="0"/>
    <cellStyle name="20% - Accent1" xfId="15"/>
    <cellStyle name="20% - Accent1 2" xfId="16"/>
    <cellStyle name="20% - Accent1 2 2" xfId="17"/>
    <cellStyle name="20% - Accent1 3" xfId="18"/>
    <cellStyle name="20% - Accent1_ПРОГРАММНЫЕ МЕРОПРИЯТИЯ" xfId="19"/>
    <cellStyle name="20% - Accent2" xfId="20"/>
    <cellStyle name="20% - Accent2 2" xfId="21"/>
    <cellStyle name="20% - Accent2 2 2" xfId="22"/>
    <cellStyle name="20% - Accent2 3" xfId="23"/>
    <cellStyle name="20% - Accent2_ПРОГРАММНЫЕ МЕРОПРИЯТИЯ" xfId="24"/>
    <cellStyle name="20% - Accent3" xfId="25"/>
    <cellStyle name="20% - Accent3 2" xfId="26"/>
    <cellStyle name="20% - Accent3 2 2" xfId="27"/>
    <cellStyle name="20% - Accent3 3" xfId="28"/>
    <cellStyle name="20% - Accent3_ПРОГРАММНЫЕ МЕРОПРИЯТИЯ" xfId="29"/>
    <cellStyle name="20% - Accent4" xfId="30"/>
    <cellStyle name="20% - Accent4 2" xfId="31"/>
    <cellStyle name="20% - Accent4 2 2" xfId="32"/>
    <cellStyle name="20% - Accent4 3" xfId="33"/>
    <cellStyle name="20% - Accent4_ПРОГРАММНЫЕ МЕРОПРИЯТИЯ" xfId="34"/>
    <cellStyle name="20% - Accent5" xfId="35"/>
    <cellStyle name="20% - Accent5 2" xfId="36"/>
    <cellStyle name="20% - Accent5 2 2" xfId="37"/>
    <cellStyle name="20% - Accent5 3" xfId="38"/>
    <cellStyle name="20% - Accent5_ПРОГРАММНЫЕ МЕРОПРИЯТИЯ" xfId="39"/>
    <cellStyle name="20% - Accent6" xfId="40"/>
    <cellStyle name="20% - Accent6 2" xfId="41"/>
    <cellStyle name="20% - Accent6 2 2" xfId="42"/>
    <cellStyle name="20% - Accent6 3" xfId="43"/>
    <cellStyle name="20% - Accent6_ПРОГРАММНЫЕ МЕРОПРИЯТИЯ" xfId="44"/>
    <cellStyle name="20% - Акцент1" xfId="45"/>
    <cellStyle name="20% - Акцент1 2" xfId="46"/>
    <cellStyle name="20% - Акцент1 2 2" xfId="47"/>
    <cellStyle name="20% - Акцент1 2 2 2" xfId="48"/>
    <cellStyle name="20% - Акцент1 2 3" xfId="49"/>
    <cellStyle name="20% - Акцент1 2_ПРОГРАММНЫЕ МЕРОПРИЯТИЯ" xfId="50"/>
    <cellStyle name="20% - Акцент1 3" xfId="51"/>
    <cellStyle name="20% - Акцент1 3 2" xfId="52"/>
    <cellStyle name="20% - Акцент2" xfId="53"/>
    <cellStyle name="20% - Акцент2 2" xfId="54"/>
    <cellStyle name="20% - Акцент2 2 2" xfId="55"/>
    <cellStyle name="20% - Акцент2 2 2 2" xfId="56"/>
    <cellStyle name="20% - Акцент2 2 3" xfId="57"/>
    <cellStyle name="20% - Акцент2 2_ПРОГРАММНЫЕ МЕРОПРИЯТИЯ" xfId="58"/>
    <cellStyle name="20% - Акцент2 3" xfId="59"/>
    <cellStyle name="20% - Акцент2 3 2" xfId="60"/>
    <cellStyle name="20% - Акцент3" xfId="61"/>
    <cellStyle name="20% - Акцент3 2" xfId="62"/>
    <cellStyle name="20% - Акцент3 2 2" xfId="63"/>
    <cellStyle name="20% - Акцент3 2 2 2" xfId="64"/>
    <cellStyle name="20% - Акцент3 2 3" xfId="65"/>
    <cellStyle name="20% - Акцент3 2_ПРОГРАММНЫЕ МЕРОПРИЯТИЯ" xfId="66"/>
    <cellStyle name="20% - Акцент3 3" xfId="67"/>
    <cellStyle name="20% - Акцент3 3 2" xfId="68"/>
    <cellStyle name="20% - Акцент4" xfId="69"/>
    <cellStyle name="20% - Акцент4 2" xfId="70"/>
    <cellStyle name="20% - Акцент4 2 2" xfId="71"/>
    <cellStyle name="20% - Акцент4 2 2 2" xfId="72"/>
    <cellStyle name="20% - Акцент4 2 3" xfId="73"/>
    <cellStyle name="20% - Акцент4 2_ПРОГРАММНЫЕ МЕРОПРИЯТИЯ" xfId="74"/>
    <cellStyle name="20% - Акцент4 3" xfId="75"/>
    <cellStyle name="20% - Акцент4 3 2" xfId="76"/>
    <cellStyle name="20% - Акцент5" xfId="77"/>
    <cellStyle name="20% - Акцент5 2" xfId="78"/>
    <cellStyle name="20% - Акцент5 2 2" xfId="79"/>
    <cellStyle name="20% - Акцент5 2 2 2" xfId="80"/>
    <cellStyle name="20% - Акцент5 2 3" xfId="81"/>
    <cellStyle name="20% - Акцент5 2_ПРОГРАММНЫЕ МЕРОПРИЯТИЯ" xfId="82"/>
    <cellStyle name="20% - Акцент5 3" xfId="83"/>
    <cellStyle name="20% - Акцент5 3 2" xfId="84"/>
    <cellStyle name="20% - Акцент6" xfId="85"/>
    <cellStyle name="20% - Акцент6 2" xfId="86"/>
    <cellStyle name="20% - Акцент6 2 2" xfId="87"/>
    <cellStyle name="20% - Акцент6 2 2 2" xfId="88"/>
    <cellStyle name="20% - Акцент6 2 3" xfId="89"/>
    <cellStyle name="20% - Акцент6 2_ПРОГРАММНЫЕ МЕРОПРИЯТИЯ" xfId="90"/>
    <cellStyle name="20% - Акцент6 3" xfId="91"/>
    <cellStyle name="20% - Акцент6 3 2" xfId="92"/>
    <cellStyle name="40% - Accent1" xfId="93"/>
    <cellStyle name="40% - Accent1 2" xfId="94"/>
    <cellStyle name="40% - Accent1 2 2" xfId="95"/>
    <cellStyle name="40% - Accent1 3" xfId="96"/>
    <cellStyle name="40% - Accent1_ПРОГРАММНЫЕ МЕРОПРИЯТИЯ" xfId="97"/>
    <cellStyle name="40% - Accent2" xfId="98"/>
    <cellStyle name="40% - Accent2 2" xfId="99"/>
    <cellStyle name="40% - Accent2 2 2" xfId="100"/>
    <cellStyle name="40% - Accent2 3" xfId="101"/>
    <cellStyle name="40% - Accent2_ПРОГРАММНЫЕ МЕРОПРИЯТИЯ" xfId="102"/>
    <cellStyle name="40% - Accent3" xfId="103"/>
    <cellStyle name="40% - Accent3 2" xfId="104"/>
    <cellStyle name="40% - Accent3 2 2" xfId="105"/>
    <cellStyle name="40% - Accent3 3" xfId="106"/>
    <cellStyle name="40% - Accent3_ПРОГРАММНЫЕ МЕРОПРИЯТИЯ" xfId="107"/>
    <cellStyle name="40% - Accent4" xfId="108"/>
    <cellStyle name="40% - Accent4 2" xfId="109"/>
    <cellStyle name="40% - Accent4 2 2" xfId="110"/>
    <cellStyle name="40% - Accent4 3" xfId="111"/>
    <cellStyle name="40% - Accent4_ПРОГРАММНЫЕ МЕРОПРИЯТИЯ" xfId="112"/>
    <cellStyle name="40% - Accent5" xfId="113"/>
    <cellStyle name="40% - Accent5 2" xfId="114"/>
    <cellStyle name="40% - Accent5 2 2" xfId="115"/>
    <cellStyle name="40% - Accent5 3" xfId="116"/>
    <cellStyle name="40% - Accent5_ПРОГРАММНЫЕ МЕРОПРИЯТИЯ" xfId="117"/>
    <cellStyle name="40% - Accent6" xfId="118"/>
    <cellStyle name="40% - Accent6 2" xfId="119"/>
    <cellStyle name="40% - Accent6 2 2" xfId="120"/>
    <cellStyle name="40% - Accent6 3" xfId="121"/>
    <cellStyle name="40% - Accent6_ПРОГРАММНЫЕ МЕРОПРИЯТИЯ" xfId="122"/>
    <cellStyle name="40% - Акцент1" xfId="123"/>
    <cellStyle name="40% - Акцент1 2" xfId="124"/>
    <cellStyle name="40% - Акцент1 2 2" xfId="125"/>
    <cellStyle name="40% - Акцент1 2 2 2" xfId="126"/>
    <cellStyle name="40% - Акцент1 2 3" xfId="127"/>
    <cellStyle name="40% - Акцент1 2_ПРОГРАММНЫЕ МЕРОПРИЯТИЯ" xfId="128"/>
    <cellStyle name="40% - Акцент1 3" xfId="129"/>
    <cellStyle name="40% - Акцент1 3 2" xfId="130"/>
    <cellStyle name="40% - Акцент2" xfId="131"/>
    <cellStyle name="40% - Акцент2 2" xfId="132"/>
    <cellStyle name="40% - Акцент2 2 2" xfId="133"/>
    <cellStyle name="40% - Акцент2 2 2 2" xfId="134"/>
    <cellStyle name="40% - Акцент2 2 3" xfId="135"/>
    <cellStyle name="40% - Акцент2 2_ПРОГРАММНЫЕ МЕРОПРИЯТИЯ" xfId="136"/>
    <cellStyle name="40% - Акцент2 3" xfId="137"/>
    <cellStyle name="40% - Акцент2 3 2" xfId="138"/>
    <cellStyle name="40% - Акцент3" xfId="139"/>
    <cellStyle name="40% - Акцент3 2" xfId="140"/>
    <cellStyle name="40% - Акцент3 2 2" xfId="141"/>
    <cellStyle name="40% - Акцент3 2 2 2" xfId="142"/>
    <cellStyle name="40% - Акцент3 2 3" xfId="143"/>
    <cellStyle name="40% - Акцент3 2_ПРОГРАММНЫЕ МЕРОПРИЯТИЯ" xfId="144"/>
    <cellStyle name="40% - Акцент3 3" xfId="145"/>
    <cellStyle name="40% - Акцент3 3 2" xfId="146"/>
    <cellStyle name="40% - Акцент4" xfId="147"/>
    <cellStyle name="40% - Акцент4 2" xfId="148"/>
    <cellStyle name="40% - Акцент4 2 2" xfId="149"/>
    <cellStyle name="40% - Акцент4 2 2 2" xfId="150"/>
    <cellStyle name="40% - Акцент4 2 3" xfId="151"/>
    <cellStyle name="40% - Акцент4 2_ПРОГРАММНЫЕ МЕРОПРИЯТИЯ" xfId="152"/>
    <cellStyle name="40% - Акцент4 3" xfId="153"/>
    <cellStyle name="40% - Акцент4 3 2" xfId="154"/>
    <cellStyle name="40% - Акцент5" xfId="155"/>
    <cellStyle name="40% - Акцент5 2" xfId="156"/>
    <cellStyle name="40% - Акцент5 2 2" xfId="157"/>
    <cellStyle name="40% - Акцент5 2 2 2" xfId="158"/>
    <cellStyle name="40% - Акцент5 2 3" xfId="159"/>
    <cellStyle name="40% - Акцент5 2_ПРОГРАММНЫЕ МЕРОПРИЯТИЯ" xfId="160"/>
    <cellStyle name="40% - Акцент5 3" xfId="161"/>
    <cellStyle name="40% - Акцент5 3 2" xfId="162"/>
    <cellStyle name="40% - Акцент6" xfId="163"/>
    <cellStyle name="40% - Акцент6 2" xfId="164"/>
    <cellStyle name="40% - Акцент6 2 2" xfId="165"/>
    <cellStyle name="40% - Акцент6 2 2 2" xfId="166"/>
    <cellStyle name="40% - Акцент6 2 3" xfId="167"/>
    <cellStyle name="40% - Акцент6 2_ПРОГРАММНЫЕ МЕРОПРИЯТИЯ" xfId="168"/>
    <cellStyle name="40% - Акцент6 3" xfId="169"/>
    <cellStyle name="40% - Акцент6 3 2" xfId="170"/>
    <cellStyle name="60% - Accent1" xfId="171"/>
    <cellStyle name="60% - Accent1 2" xfId="172"/>
    <cellStyle name="60% - Accent2" xfId="173"/>
    <cellStyle name="60% - Accent2 2" xfId="174"/>
    <cellStyle name="60% - Accent3" xfId="175"/>
    <cellStyle name="60% - Accent3 2" xfId="176"/>
    <cellStyle name="60% - Accent4" xfId="177"/>
    <cellStyle name="60% - Accent4 2" xfId="178"/>
    <cellStyle name="60% - Accent5" xfId="179"/>
    <cellStyle name="60% - Accent5 2" xfId="180"/>
    <cellStyle name="60% - Accent6" xfId="181"/>
    <cellStyle name="60% - Accent6 2" xfId="182"/>
    <cellStyle name="60% - Акцент1" xfId="183"/>
    <cellStyle name="60% - Акцент1 2" xfId="184"/>
    <cellStyle name="60% - Акцент1 2 2" xfId="185"/>
    <cellStyle name="60% - Акцент1 3" xfId="186"/>
    <cellStyle name="60% - Акцент2" xfId="187"/>
    <cellStyle name="60% - Акцент2 2" xfId="188"/>
    <cellStyle name="60% - Акцент2 2 2" xfId="189"/>
    <cellStyle name="60% - Акцент2 3" xfId="190"/>
    <cellStyle name="60% - Акцент3" xfId="191"/>
    <cellStyle name="60% - Акцент3 2" xfId="192"/>
    <cellStyle name="60% - Акцент3 2 2" xfId="193"/>
    <cellStyle name="60% - Акцент3 3" xfId="194"/>
    <cellStyle name="60% - Акцент4" xfId="195"/>
    <cellStyle name="60% - Акцент4 2" xfId="196"/>
    <cellStyle name="60% - Акцент4 2 2" xfId="197"/>
    <cellStyle name="60% - Акцент4 3" xfId="198"/>
    <cellStyle name="60% - Акцент5" xfId="199"/>
    <cellStyle name="60% - Акцент5 2" xfId="200"/>
    <cellStyle name="60% - Акцент5 2 2" xfId="201"/>
    <cellStyle name="60% - Акцент5 3" xfId="202"/>
    <cellStyle name="60% - Акцент6" xfId="203"/>
    <cellStyle name="60% - Акцент6 2" xfId="204"/>
    <cellStyle name="60% - Акцент6 2 2" xfId="205"/>
    <cellStyle name="60% - Акцент6 3" xfId="206"/>
    <cellStyle name="Accent1" xfId="207"/>
    <cellStyle name="Accent1 2" xfId="208"/>
    <cellStyle name="Accent2" xfId="209"/>
    <cellStyle name="Accent2 2" xfId="210"/>
    <cellStyle name="Accent3" xfId="211"/>
    <cellStyle name="Accent3 2" xfId="212"/>
    <cellStyle name="Accent4" xfId="213"/>
    <cellStyle name="Accent4 2" xfId="214"/>
    <cellStyle name="Accent5" xfId="215"/>
    <cellStyle name="Accent5 2" xfId="216"/>
    <cellStyle name="Accent6" xfId="217"/>
    <cellStyle name="Accent6 2" xfId="218"/>
    <cellStyle name="Bad" xfId="219"/>
    <cellStyle name="Bad 2" xfId="220"/>
    <cellStyle name="br" xfId="221"/>
    <cellStyle name="br 2" xfId="222"/>
    <cellStyle name="Calculation" xfId="223"/>
    <cellStyle name="Calculation 2" xfId="224"/>
    <cellStyle name="Check Cell" xfId="225"/>
    <cellStyle name="Check Cell 2" xfId="226"/>
    <cellStyle name="col" xfId="227"/>
    <cellStyle name="col 2" xfId="228"/>
    <cellStyle name="Excel Built-in Normal" xfId="229"/>
    <cellStyle name="Excel Built-in Normal 2" xfId="230"/>
    <cellStyle name="Explanatory Text" xfId="231"/>
    <cellStyle name="Good" xfId="232"/>
    <cellStyle name="Good 2" xfId="233"/>
    <cellStyle name="Heading 1" xfId="234"/>
    <cellStyle name="Heading 2" xfId="235"/>
    <cellStyle name="Heading 3" xfId="236"/>
    <cellStyle name="Heading 4" xfId="237"/>
    <cellStyle name="Input" xfId="238"/>
    <cellStyle name="Input 2" xfId="239"/>
    <cellStyle name="Linked Cell" xfId="240"/>
    <cellStyle name="Neutral" xfId="241"/>
    <cellStyle name="Neutral 2" xfId="242"/>
    <cellStyle name="normal" xfId="243"/>
    <cellStyle name="Note" xfId="244"/>
    <cellStyle name="Note 2" xfId="245"/>
    <cellStyle name="Note 2 2" xfId="246"/>
    <cellStyle name="Output" xfId="247"/>
    <cellStyle name="Output 2" xfId="248"/>
    <cellStyle name="style0" xfId="249"/>
    <cellStyle name="TableStyleLight1" xfId="250"/>
    <cellStyle name="TableStyleLight1 2" xfId="251"/>
    <cellStyle name="td" xfId="252"/>
    <cellStyle name="Title" xfId="253"/>
    <cellStyle name="Total" xfId="254"/>
    <cellStyle name="tr" xfId="255"/>
    <cellStyle name="tr 2" xfId="256"/>
    <cellStyle name="Warning Text" xfId="257"/>
    <cellStyle name="xl21" xfId="258"/>
    <cellStyle name="xl22" xfId="259"/>
    <cellStyle name="xl23" xfId="260"/>
    <cellStyle name="xl24" xfId="261"/>
    <cellStyle name="xl25" xfId="262"/>
    <cellStyle name="xl26" xfId="263"/>
    <cellStyle name="xl27" xfId="264"/>
    <cellStyle name="xl28" xfId="265"/>
    <cellStyle name="xl29" xfId="266"/>
    <cellStyle name="xl30" xfId="267"/>
    <cellStyle name="xl31" xfId="268"/>
    <cellStyle name="xl32" xfId="269"/>
    <cellStyle name="xl33" xfId="270"/>
    <cellStyle name="xl34" xfId="271"/>
    <cellStyle name="xl35" xfId="272"/>
    <cellStyle name="xl36" xfId="273"/>
    <cellStyle name="xl37" xfId="274"/>
    <cellStyle name="xl38" xfId="275"/>
    <cellStyle name="xl39" xfId="276"/>
    <cellStyle name="xl40" xfId="277"/>
    <cellStyle name="xl41" xfId="278"/>
    <cellStyle name="xl42" xfId="279"/>
    <cellStyle name="xl43" xfId="280"/>
    <cellStyle name="xl43 2" xfId="281"/>
    <cellStyle name="xl43 3" xfId="282"/>
    <cellStyle name="xl44" xfId="283"/>
    <cellStyle name="xl44 2" xfId="284"/>
    <cellStyle name="xl44 3" xfId="285"/>
    <cellStyle name="xl45" xfId="286"/>
    <cellStyle name="xl46" xfId="287"/>
    <cellStyle name="xl60" xfId="288"/>
    <cellStyle name="xl63" xfId="289"/>
    <cellStyle name="Акцент1" xfId="290"/>
    <cellStyle name="Акцент1 2" xfId="291"/>
    <cellStyle name="Акцент2" xfId="292"/>
    <cellStyle name="Акцент2 2" xfId="293"/>
    <cellStyle name="Акцент3" xfId="294"/>
    <cellStyle name="Акцент3 2" xfId="295"/>
    <cellStyle name="Акцент4" xfId="296"/>
    <cellStyle name="Акцент4 2" xfId="297"/>
    <cellStyle name="Акцент5" xfId="298"/>
    <cellStyle name="Акцент5 2" xfId="299"/>
    <cellStyle name="Акцент6" xfId="300"/>
    <cellStyle name="Акцент6 2" xfId="301"/>
    <cellStyle name="Ввод " xfId="302"/>
    <cellStyle name="Ввод  2" xfId="303"/>
    <cellStyle name="Вывод" xfId="304"/>
    <cellStyle name="Вывод 2" xfId="305"/>
    <cellStyle name="Вычисление" xfId="306"/>
    <cellStyle name="Вычисление 2" xfId="307"/>
    <cellStyle name="Currency" xfId="308"/>
    <cellStyle name="Currency [0]" xfId="309"/>
    <cellStyle name="Денежный 2" xfId="310"/>
    <cellStyle name="Денежный 2 2" xfId="311"/>
    <cellStyle name="Заголовок 1" xfId="312"/>
    <cellStyle name="Заголовок 1 2" xfId="313"/>
    <cellStyle name="Заголовок 2" xfId="314"/>
    <cellStyle name="Заголовок 2 2" xfId="315"/>
    <cellStyle name="Заголовок 3" xfId="316"/>
    <cellStyle name="Заголовок 3 2" xfId="317"/>
    <cellStyle name="Заголовок 4" xfId="318"/>
    <cellStyle name="Заголовок 4 2" xfId="319"/>
    <cellStyle name="Итог" xfId="320"/>
    <cellStyle name="Итог 2" xfId="321"/>
    <cellStyle name="Контрольная ячейка" xfId="322"/>
    <cellStyle name="Контрольная ячейка 2" xfId="323"/>
    <cellStyle name="Название" xfId="324"/>
    <cellStyle name="Название 2" xfId="325"/>
    <cellStyle name="Нейтральный" xfId="326"/>
    <cellStyle name="Нейтральный 2" xfId="327"/>
    <cellStyle name="Обычный 10" xfId="328"/>
    <cellStyle name="Обычный 2" xfId="329"/>
    <cellStyle name="Обычный 2 2" xfId="330"/>
    <cellStyle name="Обычный 3" xfId="331"/>
    <cellStyle name="Обычный 4" xfId="332"/>
    <cellStyle name="Обычный 4 2" xfId="333"/>
    <cellStyle name="Обычный 4_ПРОГРАММНЫЕ МЕРОПРИЯТИЯ" xfId="334"/>
    <cellStyle name="Обычный 5" xfId="335"/>
    <cellStyle name="Обычный 5 2" xfId="336"/>
    <cellStyle name="Обычный 6" xfId="337"/>
    <cellStyle name="Обычный 6 2" xfId="338"/>
    <cellStyle name="Обычный 7" xfId="339"/>
    <cellStyle name="Обычный 7 2" xfId="340"/>
    <cellStyle name="Обычный 8" xfId="341"/>
    <cellStyle name="Обычный 9" xfId="342"/>
    <cellStyle name="Обычный_Xl0002320" xfId="343"/>
    <cellStyle name="Обычный_КАДРЫ 2014 изменен к приказу 12.07" xfId="344"/>
    <cellStyle name="Обычный_КАДРЫ 2014 изменен к приказу 12.07 2" xfId="345"/>
    <cellStyle name="Обычный_Лист1 2" xfId="346"/>
    <cellStyle name="Обычный_Льготы по ком. услуги" xfId="347"/>
    <cellStyle name="Обычный_Смета бюджет 07последняя" xfId="348"/>
    <cellStyle name="Плохой" xfId="349"/>
    <cellStyle name="Плохой 2" xfId="350"/>
    <cellStyle name="Пояснение" xfId="351"/>
    <cellStyle name="Пояснение 2" xfId="352"/>
    <cellStyle name="Примечание" xfId="353"/>
    <cellStyle name="Примечание 2" xfId="354"/>
    <cellStyle name="Percent" xfId="355"/>
    <cellStyle name="Связанная ячейка" xfId="356"/>
    <cellStyle name="Связанная ячейка 2" xfId="357"/>
    <cellStyle name="Стиль 1" xfId="358"/>
    <cellStyle name="Стиль 1 2" xfId="359"/>
    <cellStyle name="Текст предупреждения" xfId="360"/>
    <cellStyle name="Текст предупреждения 2" xfId="361"/>
    <cellStyle name="Comma" xfId="362"/>
    <cellStyle name="Comma [0]" xfId="363"/>
    <cellStyle name="Финансовый 10" xfId="364"/>
    <cellStyle name="Финансовый 10 2" xfId="365"/>
    <cellStyle name="Финансовый 2" xfId="366"/>
    <cellStyle name="Финансовый 2 2" xfId="367"/>
    <cellStyle name="Финансовый 2 2 2" xfId="368"/>
    <cellStyle name="Финансовый 2 2 2 2" xfId="369"/>
    <cellStyle name="Финансовый 2 2 3" xfId="370"/>
    <cellStyle name="Финансовый 2 3" xfId="371"/>
    <cellStyle name="Финансовый 3" xfId="372"/>
    <cellStyle name="Финансовый 3 2" xfId="373"/>
    <cellStyle name="Финансовый 4" xfId="374"/>
    <cellStyle name="Финансовый 4 2" xfId="375"/>
    <cellStyle name="Финансовый 4 2 2" xfId="376"/>
    <cellStyle name="Финансовый 4_ПРОГРАММНЫЕ МЕРОПРИЯТИЯ" xfId="377"/>
    <cellStyle name="Финансовый 5" xfId="378"/>
    <cellStyle name="Финансовый 6" xfId="379"/>
    <cellStyle name="Финансовый 7" xfId="380"/>
    <cellStyle name="Финансовый 7 2" xfId="381"/>
    <cellStyle name="Финансовый 9" xfId="382"/>
    <cellStyle name="Финансовый 9 2" xfId="383"/>
    <cellStyle name="Хороший" xfId="384"/>
    <cellStyle name="Хороший 2" xfId="38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CI650"/>
  <sheetViews>
    <sheetView tabSelected="1" view="pageBreakPreview" zoomScale="70" zoomScaleSheetLayoutView="70" zoomScalePageLayoutView="0" workbookViewId="0" topLeftCell="A1">
      <pane ySplit="7" topLeftCell="A182" activePane="bottomLeft" state="frozen"/>
      <selection pane="topLeft" activeCell="A1" sqref="A1"/>
      <selection pane="bottomLeft" activeCell="AC183" sqref="AC183"/>
    </sheetView>
  </sheetViews>
  <sheetFormatPr defaultColWidth="9.140625" defaultRowHeight="15" outlineLevelRow="1" outlineLevelCol="1"/>
  <cols>
    <col min="1" max="1" width="26.00390625" style="11" customWidth="1"/>
    <col min="2" max="2" width="6.28125" style="1" customWidth="1"/>
    <col min="3" max="3" width="8.140625" style="1" customWidth="1"/>
    <col min="4" max="4" width="12.00390625" style="1" customWidth="1"/>
    <col min="5" max="5" width="6.57421875" style="1" customWidth="1"/>
    <col min="6" max="6" width="8.421875" style="1" hidden="1" customWidth="1" outlineLevel="1"/>
    <col min="7" max="7" width="10.57421875" style="14" customWidth="1" collapsed="1"/>
    <col min="8" max="8" width="7.8515625" style="1" customWidth="1"/>
    <col min="9" max="9" width="43.140625" style="1" customWidth="1"/>
    <col min="10" max="10" width="23.7109375" style="12" hidden="1" customWidth="1" outlineLevel="1"/>
    <col min="11" max="11" width="24.57421875" style="3" hidden="1" customWidth="1" outlineLevel="1"/>
    <col min="12" max="12" width="27.140625" style="1" hidden="1" customWidth="1" outlineLevel="1" collapsed="1"/>
    <col min="13" max="13" width="30.57421875" style="13" customWidth="1" collapsed="1"/>
    <col min="14" max="14" width="4.57421875" style="1" customWidth="1"/>
    <col min="15" max="15" width="19.8515625" style="3" hidden="1" customWidth="1" outlineLevel="1"/>
    <col min="16" max="16" width="20.7109375" style="3" hidden="1" customWidth="1" outlineLevel="1"/>
    <col min="17" max="17" width="21.00390625" style="16" hidden="1" customWidth="1" outlineLevel="1"/>
    <col min="18" max="18" width="25.28125" style="16" hidden="1" customWidth="1" outlineLevel="1" collapsed="1"/>
    <col min="19" max="19" width="24.7109375" style="16" hidden="1" customWidth="1" outlineLevel="1"/>
    <col min="20" max="20" width="25.00390625" style="16" hidden="1" customWidth="1" outlineLevel="1"/>
    <col min="21" max="21" width="21.57421875" style="16" customWidth="1" collapsed="1"/>
    <col min="22" max="22" width="22.8515625" style="16" customWidth="1"/>
    <col min="23" max="23" width="21.7109375" style="16" customWidth="1"/>
    <col min="24" max="24" width="22.00390625" style="16" customWidth="1"/>
    <col min="25" max="25" width="22.140625" style="16" customWidth="1"/>
    <col min="26" max="26" width="22.8515625" style="1" customWidth="1"/>
    <col min="27" max="27" width="17.7109375" style="1" bestFit="1" customWidth="1"/>
    <col min="28" max="28" width="16.421875" style="1" customWidth="1"/>
    <col min="29" max="32" width="17.421875" style="1" customWidth="1"/>
    <col min="33" max="16384" width="9.140625" style="1" customWidth="1"/>
  </cols>
  <sheetData>
    <row r="1" spans="1:34" ht="23.25">
      <c r="A1" s="80"/>
      <c r="B1" s="81"/>
      <c r="C1" s="81"/>
      <c r="D1" s="81"/>
      <c r="E1" s="81"/>
      <c r="F1" s="81"/>
      <c r="G1" s="82"/>
      <c r="H1" s="81"/>
      <c r="I1" s="81"/>
      <c r="J1" s="83"/>
      <c r="K1" s="84"/>
      <c r="L1" s="81"/>
      <c r="M1" s="1053" t="s">
        <v>610</v>
      </c>
      <c r="N1" s="1053"/>
      <c r="O1" s="1053"/>
      <c r="P1" s="1053"/>
      <c r="Q1" s="1053"/>
      <c r="R1" s="1053"/>
      <c r="S1" s="1053"/>
      <c r="T1" s="1053"/>
      <c r="U1" s="1053"/>
      <c r="V1" s="1053"/>
      <c r="W1" s="1053"/>
      <c r="X1" s="1053"/>
      <c r="Y1" s="1053"/>
      <c r="Z1" s="1053"/>
      <c r="AA1" s="76"/>
      <c r="AB1" s="76"/>
      <c r="AC1" s="76"/>
      <c r="AD1" s="76"/>
      <c r="AE1" s="76"/>
      <c r="AF1" s="76"/>
      <c r="AG1" s="76"/>
      <c r="AH1" s="76"/>
    </row>
    <row r="2" spans="1:27" ht="23.25">
      <c r="A2" s="80"/>
      <c r="B2" s="81"/>
      <c r="C2" s="81"/>
      <c r="D2" s="81"/>
      <c r="E2" s="81"/>
      <c r="F2" s="81"/>
      <c r="G2" s="82"/>
      <c r="H2" s="81"/>
      <c r="I2" s="81"/>
      <c r="J2" s="83"/>
      <c r="K2" s="84"/>
      <c r="L2" s="81"/>
      <c r="M2" s="79"/>
      <c r="N2" s="1053" t="s">
        <v>611</v>
      </c>
      <c r="O2" s="1053"/>
      <c r="P2" s="1053"/>
      <c r="Q2" s="1053"/>
      <c r="R2" s="1053"/>
      <c r="S2" s="1053"/>
      <c r="T2" s="1053"/>
      <c r="U2" s="1053"/>
      <c r="V2" s="1053"/>
      <c r="W2" s="1053"/>
      <c r="X2" s="1053"/>
      <c r="Y2" s="1053"/>
      <c r="Z2" s="1053"/>
      <c r="AA2" s="76"/>
    </row>
    <row r="3" spans="1:26" ht="23.25">
      <c r="A3" s="80"/>
      <c r="B3" s="81"/>
      <c r="C3" s="81"/>
      <c r="D3" s="81"/>
      <c r="E3" s="81"/>
      <c r="F3" s="81"/>
      <c r="G3" s="82"/>
      <c r="H3" s="81"/>
      <c r="I3" s="81"/>
      <c r="J3" s="83"/>
      <c r="K3" s="84"/>
      <c r="L3" s="81"/>
      <c r="M3" s="79"/>
      <c r="N3" s="81"/>
      <c r="O3" s="84"/>
      <c r="P3" s="84"/>
      <c r="Q3" s="85"/>
      <c r="R3" s="85"/>
      <c r="S3" s="85"/>
      <c r="T3" s="85"/>
      <c r="U3" s="85"/>
      <c r="V3" s="85"/>
      <c r="W3" s="85"/>
      <c r="X3" s="85"/>
      <c r="Y3" s="85"/>
      <c r="Z3" s="81"/>
    </row>
    <row r="4" spans="1:26" ht="42" customHeight="1">
      <c r="A4" s="1054" t="s">
        <v>614</v>
      </c>
      <c r="B4" s="1054"/>
      <c r="C4" s="1054"/>
      <c r="D4" s="1054"/>
      <c r="E4" s="1054"/>
      <c r="F4" s="1054"/>
      <c r="G4" s="1054"/>
      <c r="H4" s="1054"/>
      <c r="I4" s="1054"/>
      <c r="J4" s="1054"/>
      <c r="K4" s="1054"/>
      <c r="L4" s="1054"/>
      <c r="M4" s="1054"/>
      <c r="N4" s="1054"/>
      <c r="O4" s="1054"/>
      <c r="P4" s="1054"/>
      <c r="Q4" s="1054"/>
      <c r="R4" s="1054"/>
      <c r="S4" s="1054"/>
      <c r="T4" s="1054"/>
      <c r="U4" s="1054"/>
      <c r="V4" s="1054"/>
      <c r="W4" s="1054"/>
      <c r="X4" s="1054"/>
      <c r="Y4" s="1054"/>
      <c r="Z4" s="1054"/>
    </row>
    <row r="5" spans="1:26" ht="8.25" customHeight="1">
      <c r="A5" s="1055"/>
      <c r="B5" s="1056"/>
      <c r="C5" s="1056"/>
      <c r="D5" s="1056"/>
      <c r="E5" s="1056"/>
      <c r="F5" s="1056"/>
      <c r="G5" s="1056"/>
      <c r="H5" s="1056"/>
      <c r="I5" s="1056"/>
      <c r="J5" s="1056"/>
      <c r="K5" s="1056"/>
      <c r="L5" s="1056"/>
      <c r="M5" s="1056"/>
      <c r="N5" s="1056"/>
      <c r="O5" s="1056"/>
      <c r="P5" s="1056"/>
      <c r="Q5" s="1056"/>
      <c r="R5" s="1056"/>
      <c r="S5" s="1056"/>
      <c r="T5" s="1056"/>
      <c r="U5" s="85"/>
      <c r="V5" s="85"/>
      <c r="W5" s="85"/>
      <c r="X5" s="85"/>
      <c r="Y5" s="85"/>
      <c r="Z5" s="81"/>
    </row>
    <row r="6" spans="1:26" ht="30.75" customHeight="1">
      <c r="A6" s="1032" t="s">
        <v>612</v>
      </c>
      <c r="B6" s="1031" t="s">
        <v>0</v>
      </c>
      <c r="C6" s="1031"/>
      <c r="D6" s="1031"/>
      <c r="E6" s="1031"/>
      <c r="F6" s="1031"/>
      <c r="G6" s="1031"/>
      <c r="H6" s="1031"/>
      <c r="I6" s="1032" t="s">
        <v>1</v>
      </c>
      <c r="J6" s="1057" t="s">
        <v>237</v>
      </c>
      <c r="K6" s="1032" t="s">
        <v>230</v>
      </c>
      <c r="L6" s="1032" t="s">
        <v>613</v>
      </c>
      <c r="M6" s="1032"/>
      <c r="N6" s="1032"/>
      <c r="O6" s="1032"/>
      <c r="P6" s="1032"/>
      <c r="Q6" s="1032"/>
      <c r="R6" s="1032" t="s">
        <v>238</v>
      </c>
      <c r="S6" s="1032"/>
      <c r="T6" s="1032"/>
      <c r="U6" s="1033" t="s">
        <v>2</v>
      </c>
      <c r="V6" s="1034"/>
      <c r="W6" s="1033" t="s">
        <v>3</v>
      </c>
      <c r="X6" s="1034"/>
      <c r="Y6" s="1029" t="s">
        <v>236</v>
      </c>
      <c r="Z6" s="1030"/>
    </row>
    <row r="7" spans="1:26" ht="35.25" customHeight="1">
      <c r="A7" s="1032"/>
      <c r="B7" s="1031"/>
      <c r="C7" s="1031"/>
      <c r="D7" s="1031"/>
      <c r="E7" s="1031"/>
      <c r="F7" s="1031"/>
      <c r="G7" s="1031"/>
      <c r="H7" s="1031"/>
      <c r="I7" s="1032"/>
      <c r="J7" s="1057"/>
      <c r="K7" s="1032"/>
      <c r="L7" s="1032"/>
      <c r="M7" s="1032"/>
      <c r="N7" s="1032"/>
      <c r="O7" s="1032"/>
      <c r="P7" s="1032"/>
      <c r="Q7" s="1032"/>
      <c r="R7" s="143" t="s">
        <v>2</v>
      </c>
      <c r="S7" s="143" t="s">
        <v>3</v>
      </c>
      <c r="T7" s="143" t="s">
        <v>236</v>
      </c>
      <c r="U7" s="143" t="s">
        <v>615</v>
      </c>
      <c r="V7" s="115" t="s">
        <v>616</v>
      </c>
      <c r="W7" s="143" t="s">
        <v>615</v>
      </c>
      <c r="X7" s="115" t="s">
        <v>616</v>
      </c>
      <c r="Y7" s="143" t="s">
        <v>615</v>
      </c>
      <c r="Z7" s="115" t="s">
        <v>616</v>
      </c>
    </row>
    <row r="8" spans="1:26" ht="33.75" customHeight="1">
      <c r="A8" s="1039" t="s">
        <v>524</v>
      </c>
      <c r="B8" s="1039"/>
      <c r="C8" s="1039"/>
      <c r="D8" s="1039"/>
      <c r="E8" s="1039"/>
      <c r="F8" s="1039"/>
      <c r="G8" s="1039"/>
      <c r="H8" s="1039"/>
      <c r="I8" s="1039"/>
      <c r="J8" s="1039"/>
      <c r="K8" s="1039"/>
      <c r="L8" s="1039"/>
      <c r="M8" s="1039"/>
      <c r="N8" s="1039"/>
      <c r="O8" s="144"/>
      <c r="P8" s="145"/>
      <c r="Q8" s="145"/>
      <c r="R8" s="146"/>
      <c r="S8" s="146"/>
      <c r="T8" s="146"/>
      <c r="U8" s="141">
        <f aca="true" t="shared" si="0" ref="U8:Z8">U10+U11+U12</f>
        <v>352433392.07</v>
      </c>
      <c r="V8" s="141">
        <f t="shared" si="0"/>
        <v>352433392.07</v>
      </c>
      <c r="W8" s="141">
        <f t="shared" si="0"/>
        <v>182527605.60410002</v>
      </c>
      <c r="X8" s="141">
        <f t="shared" si="0"/>
        <v>182527605.60410002</v>
      </c>
      <c r="Y8" s="141">
        <f t="shared" si="0"/>
        <v>182527605.60410002</v>
      </c>
      <c r="Z8" s="141">
        <f t="shared" si="0"/>
        <v>182527605.60410002</v>
      </c>
    </row>
    <row r="9" spans="1:26" ht="18.75" customHeight="1">
      <c r="A9" s="1043" t="s">
        <v>525</v>
      </c>
      <c r="B9" s="1044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5"/>
      <c r="O9" s="144"/>
      <c r="P9" s="145"/>
      <c r="Q9" s="145"/>
      <c r="R9" s="146"/>
      <c r="S9" s="146"/>
      <c r="T9" s="146"/>
      <c r="U9" s="141"/>
      <c r="V9" s="141"/>
      <c r="W9" s="141"/>
      <c r="X9" s="141"/>
      <c r="Y9" s="141"/>
      <c r="Z9" s="141"/>
    </row>
    <row r="10" spans="1:26" ht="34.5" customHeight="1">
      <c r="A10" s="1039" t="s">
        <v>4</v>
      </c>
      <c r="B10" s="1039"/>
      <c r="C10" s="1039"/>
      <c r="D10" s="1039"/>
      <c r="E10" s="1039"/>
      <c r="F10" s="1039"/>
      <c r="G10" s="1039"/>
      <c r="H10" s="1039"/>
      <c r="I10" s="1039"/>
      <c r="J10" s="1039"/>
      <c r="K10" s="1039"/>
      <c r="L10" s="1039"/>
      <c r="M10" s="1039"/>
      <c r="N10" s="1039"/>
      <c r="O10" s="144"/>
      <c r="P10" s="145"/>
      <c r="Q10" s="145"/>
      <c r="R10" s="146"/>
      <c r="S10" s="146"/>
      <c r="T10" s="146"/>
      <c r="U10" s="141">
        <f aca="true" t="shared" si="1" ref="U10:Z10">U14</f>
        <v>347256592.07</v>
      </c>
      <c r="V10" s="141">
        <f t="shared" si="1"/>
        <v>347256592.07</v>
      </c>
      <c r="W10" s="141">
        <f t="shared" si="1"/>
        <v>182527605.60410002</v>
      </c>
      <c r="X10" s="141">
        <f t="shared" si="1"/>
        <v>182527605.60410002</v>
      </c>
      <c r="Y10" s="141">
        <f t="shared" si="1"/>
        <v>182527605.60410002</v>
      </c>
      <c r="Z10" s="141">
        <f t="shared" si="1"/>
        <v>182527605.60410002</v>
      </c>
    </row>
    <row r="11" spans="1:26" ht="33" customHeight="1">
      <c r="A11" s="1039" t="s">
        <v>213</v>
      </c>
      <c r="B11" s="1039"/>
      <c r="C11" s="1039"/>
      <c r="D11" s="1039"/>
      <c r="E11" s="1039"/>
      <c r="F11" s="1039"/>
      <c r="G11" s="1039"/>
      <c r="H11" s="1039"/>
      <c r="I11" s="1039"/>
      <c r="J11" s="1039"/>
      <c r="K11" s="1039"/>
      <c r="L11" s="1039"/>
      <c r="M11" s="1039"/>
      <c r="N11" s="1039"/>
      <c r="O11" s="144"/>
      <c r="P11" s="145"/>
      <c r="Q11" s="145"/>
      <c r="R11" s="146"/>
      <c r="S11" s="146"/>
      <c r="T11" s="146"/>
      <c r="U11" s="141">
        <f aca="true" t="shared" si="2" ref="U11:Z11">U613</f>
        <v>150000</v>
      </c>
      <c r="V11" s="141">
        <f t="shared" si="2"/>
        <v>150000</v>
      </c>
      <c r="W11" s="141">
        <f t="shared" si="2"/>
        <v>0</v>
      </c>
      <c r="X11" s="141">
        <f t="shared" si="2"/>
        <v>0</v>
      </c>
      <c r="Y11" s="141">
        <f t="shared" si="2"/>
        <v>0</v>
      </c>
      <c r="Z11" s="141">
        <f t="shared" si="2"/>
        <v>0</v>
      </c>
    </row>
    <row r="12" spans="1:26" ht="62.25" customHeight="1">
      <c r="A12" s="1039" t="s">
        <v>526</v>
      </c>
      <c r="B12" s="1039"/>
      <c r="C12" s="1039"/>
      <c r="D12" s="1039"/>
      <c r="E12" s="1039"/>
      <c r="F12" s="1039"/>
      <c r="G12" s="1039"/>
      <c r="H12" s="1039"/>
      <c r="I12" s="1039"/>
      <c r="J12" s="1039"/>
      <c r="K12" s="1039"/>
      <c r="L12" s="1039"/>
      <c r="M12" s="1039"/>
      <c r="N12" s="1039"/>
      <c r="O12" s="144"/>
      <c r="P12" s="145"/>
      <c r="Q12" s="145"/>
      <c r="R12" s="146"/>
      <c r="S12" s="146"/>
      <c r="T12" s="146"/>
      <c r="U12" s="141">
        <f aca="true" t="shared" si="3" ref="U12:Z12">U618</f>
        <v>5026800</v>
      </c>
      <c r="V12" s="141">
        <f t="shared" si="3"/>
        <v>5026800</v>
      </c>
      <c r="W12" s="141">
        <f t="shared" si="3"/>
        <v>0</v>
      </c>
      <c r="X12" s="141">
        <f t="shared" si="3"/>
        <v>0</v>
      </c>
      <c r="Y12" s="141">
        <f t="shared" si="3"/>
        <v>0</v>
      </c>
      <c r="Z12" s="141">
        <f t="shared" si="3"/>
        <v>0</v>
      </c>
    </row>
    <row r="13" spans="1:26" ht="15.75" customHeight="1">
      <c r="A13" s="1032"/>
      <c r="B13" s="1032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2"/>
      <c r="X13" s="1032"/>
      <c r="Y13" s="1032"/>
      <c r="Z13" s="157"/>
    </row>
    <row r="14" spans="1:26" ht="38.25" customHeight="1">
      <c r="A14" s="1035" t="s">
        <v>4</v>
      </c>
      <c r="B14" s="1035"/>
      <c r="C14" s="1035"/>
      <c r="D14" s="1035"/>
      <c r="E14" s="1035"/>
      <c r="F14" s="1035"/>
      <c r="G14" s="1035"/>
      <c r="H14" s="1035"/>
      <c r="I14" s="1035"/>
      <c r="J14" s="1035"/>
      <c r="K14" s="1035"/>
      <c r="L14" s="1035"/>
      <c r="M14" s="1035"/>
      <c r="N14" s="1035"/>
      <c r="O14" s="158"/>
      <c r="P14" s="158"/>
      <c r="Q14" s="158"/>
      <c r="R14" s="86"/>
      <c r="S14" s="86"/>
      <c r="T14" s="86"/>
      <c r="U14" s="86">
        <f aca="true" t="shared" si="4" ref="U14:Z14">U15++U151++U302+U355+U395+U600+U390+U594</f>
        <v>347256592.07</v>
      </c>
      <c r="V14" s="86">
        <f t="shared" si="4"/>
        <v>347256592.07</v>
      </c>
      <c r="W14" s="86">
        <f t="shared" si="4"/>
        <v>182527605.60410002</v>
      </c>
      <c r="X14" s="86">
        <f t="shared" si="4"/>
        <v>182527605.60410002</v>
      </c>
      <c r="Y14" s="86">
        <f t="shared" si="4"/>
        <v>182527605.60410002</v>
      </c>
      <c r="Z14" s="86">
        <f t="shared" si="4"/>
        <v>182527605.60410002</v>
      </c>
    </row>
    <row r="15" spans="1:26" ht="52.5" customHeight="1">
      <c r="A15" s="1036" t="s">
        <v>5</v>
      </c>
      <c r="B15" s="1037"/>
      <c r="C15" s="1037"/>
      <c r="D15" s="1037"/>
      <c r="E15" s="1037"/>
      <c r="F15" s="1037"/>
      <c r="G15" s="1037"/>
      <c r="H15" s="1037"/>
      <c r="I15" s="1037"/>
      <c r="J15" s="1037"/>
      <c r="K15" s="1037"/>
      <c r="L15" s="1037"/>
      <c r="M15" s="1037"/>
      <c r="N15" s="1038"/>
      <c r="O15" s="159"/>
      <c r="P15" s="159"/>
      <c r="Q15" s="159"/>
      <c r="R15" s="87" t="e">
        <f>R16+R23+R26+R30+R43+R52+R72+R76+R110+R140</f>
        <v>#REF!</v>
      </c>
      <c r="S15" s="87" t="e">
        <f>S16+S23+S26+S30+S43+S52+S72+S76+S110+S140</f>
        <v>#REF!</v>
      </c>
      <c r="T15" s="87" t="e">
        <f>T16+T23+T26+T30+T43+T52+T72+T76+T110+T140</f>
        <v>#REF!</v>
      </c>
      <c r="U15" s="87">
        <f aca="true" t="shared" si="5" ref="U15:Z15">U16+U23+U26+U30+U43+U52+U72+U76+U110+U140+U146</f>
        <v>117913146.9</v>
      </c>
      <c r="V15" s="87">
        <f t="shared" si="5"/>
        <v>117913146.9</v>
      </c>
      <c r="W15" s="87">
        <f t="shared" si="5"/>
        <v>76225633.72000001</v>
      </c>
      <c r="X15" s="87">
        <f t="shared" si="5"/>
        <v>76225633.72000001</v>
      </c>
      <c r="Y15" s="87">
        <f t="shared" si="5"/>
        <v>76765233.72000001</v>
      </c>
      <c r="Z15" s="87">
        <f t="shared" si="5"/>
        <v>76765233.72000001</v>
      </c>
    </row>
    <row r="16" spans="1:26" ht="165.75" customHeight="1">
      <c r="A16" s="147" t="s">
        <v>406</v>
      </c>
      <c r="B16" s="686" t="s">
        <v>6</v>
      </c>
      <c r="C16" s="686" t="s">
        <v>7</v>
      </c>
      <c r="D16" s="686" t="s">
        <v>407</v>
      </c>
      <c r="E16" s="686" t="s">
        <v>8</v>
      </c>
      <c r="F16" s="686" t="s">
        <v>408</v>
      </c>
      <c r="G16" s="686" t="s">
        <v>474</v>
      </c>
      <c r="H16" s="686" t="s">
        <v>9</v>
      </c>
      <c r="I16" s="147" t="s">
        <v>409</v>
      </c>
      <c r="J16" s="747">
        <f>J17+J21+J22</f>
        <v>1600000</v>
      </c>
      <c r="K16" s="745">
        <f>K17+K21+K22</f>
        <v>1200000</v>
      </c>
      <c r="L16" s="148"/>
      <c r="M16" s="149"/>
      <c r="N16" s="150"/>
      <c r="O16" s="160"/>
      <c r="P16" s="160"/>
      <c r="Q16" s="744" t="e">
        <f aca="true" t="shared" si="6" ref="Q16:Z16">Q17+Q21+Q22</f>
        <v>#REF!</v>
      </c>
      <c r="R16" s="744" t="e">
        <f t="shared" si="6"/>
        <v>#REF!</v>
      </c>
      <c r="S16" s="744" t="e">
        <f t="shared" si="6"/>
        <v>#REF!</v>
      </c>
      <c r="T16" s="744" t="e">
        <f t="shared" si="6"/>
        <v>#REF!</v>
      </c>
      <c r="U16" s="745">
        <f t="shared" si="6"/>
        <v>1600000</v>
      </c>
      <c r="V16" s="745">
        <f t="shared" si="6"/>
        <v>1600000</v>
      </c>
      <c r="W16" s="745">
        <f t="shared" si="6"/>
        <v>800000</v>
      </c>
      <c r="X16" s="745">
        <f t="shared" si="6"/>
        <v>800000</v>
      </c>
      <c r="Y16" s="745">
        <f t="shared" si="6"/>
        <v>800000</v>
      </c>
      <c r="Z16" s="745">
        <f t="shared" si="6"/>
        <v>800000</v>
      </c>
    </row>
    <row r="17" spans="1:26" ht="30" customHeight="1">
      <c r="A17" s="1018" t="s">
        <v>10</v>
      </c>
      <c r="B17" s="1046"/>
      <c r="C17" s="1046"/>
      <c r="D17" s="1046"/>
      <c r="E17" s="1046"/>
      <c r="F17" s="1046"/>
      <c r="G17" s="1046"/>
      <c r="H17" s="1046"/>
      <c r="I17" s="1024" t="s">
        <v>621</v>
      </c>
      <c r="J17" s="1025">
        <v>752970.4</v>
      </c>
      <c r="K17" s="1026">
        <v>550541.5700000001</v>
      </c>
      <c r="L17" s="1016" t="s">
        <v>11</v>
      </c>
      <c r="M17" s="153"/>
      <c r="N17" s="587"/>
      <c r="O17" s="19"/>
      <c r="P17" s="19"/>
      <c r="Q17" s="20">
        <f aca="true" t="shared" si="7" ref="Q17:Z17">Q18+Q19+Q20</f>
        <v>707940.1100000001</v>
      </c>
      <c r="R17" s="20">
        <f t="shared" si="7"/>
        <v>707940.1100000001</v>
      </c>
      <c r="S17" s="20">
        <f t="shared" si="7"/>
        <v>707940.1100000001</v>
      </c>
      <c r="T17" s="20">
        <f t="shared" si="7"/>
        <v>707940.1100000001</v>
      </c>
      <c r="U17" s="20">
        <f t="shared" si="7"/>
        <v>707940.1100000001</v>
      </c>
      <c r="V17" s="20">
        <f t="shared" si="7"/>
        <v>707940.1100000001</v>
      </c>
      <c r="W17" s="20">
        <f t="shared" si="7"/>
        <v>353970.05500000005</v>
      </c>
      <c r="X17" s="20">
        <f t="shared" si="7"/>
        <v>353970.05500000005</v>
      </c>
      <c r="Y17" s="20">
        <f t="shared" si="7"/>
        <v>353970.05500000005</v>
      </c>
      <c r="Z17" s="20">
        <f t="shared" si="7"/>
        <v>353970.05500000005</v>
      </c>
    </row>
    <row r="18" spans="1:26" ht="63.75" customHeight="1">
      <c r="A18" s="1018"/>
      <c r="B18" s="1046"/>
      <c r="C18" s="1046"/>
      <c r="D18" s="1046"/>
      <c r="E18" s="1046"/>
      <c r="F18" s="1046"/>
      <c r="G18" s="1046"/>
      <c r="H18" s="1046"/>
      <c r="I18" s="1024"/>
      <c r="J18" s="1025"/>
      <c r="K18" s="1026"/>
      <c r="L18" s="1016"/>
      <c r="M18" s="154" t="s">
        <v>410</v>
      </c>
      <c r="N18" s="588" t="s">
        <v>411</v>
      </c>
      <c r="O18" s="22">
        <v>142</v>
      </c>
      <c r="P18" s="161">
        <f>Q18/O18</f>
        <v>2694.1465492957745</v>
      </c>
      <c r="Q18" s="50">
        <v>382568.81</v>
      </c>
      <c r="R18" s="50">
        <v>382568.81</v>
      </c>
      <c r="S18" s="50">
        <v>382568.81</v>
      </c>
      <c r="T18" s="50">
        <v>382568.81</v>
      </c>
      <c r="U18" s="50">
        <v>382568.81</v>
      </c>
      <c r="V18" s="50">
        <f>U18</f>
        <v>382568.81</v>
      </c>
      <c r="W18" s="47">
        <f>U18/2</f>
        <v>191284.405</v>
      </c>
      <c r="X18" s="47">
        <f>W18</f>
        <v>191284.405</v>
      </c>
      <c r="Y18" s="47">
        <f>U18/2</f>
        <v>191284.405</v>
      </c>
      <c r="Z18" s="88">
        <f>Y18</f>
        <v>191284.405</v>
      </c>
    </row>
    <row r="19" spans="1:26" ht="65.25" customHeight="1">
      <c r="A19" s="1018"/>
      <c r="B19" s="1046"/>
      <c r="C19" s="1046"/>
      <c r="D19" s="1046"/>
      <c r="E19" s="1046"/>
      <c r="F19" s="1046"/>
      <c r="G19" s="1046"/>
      <c r="H19" s="1046"/>
      <c r="I19" s="1024"/>
      <c r="J19" s="1025"/>
      <c r="K19" s="1026"/>
      <c r="L19" s="1016"/>
      <c r="M19" s="154" t="s">
        <v>412</v>
      </c>
      <c r="N19" s="588" t="s">
        <v>411</v>
      </c>
      <c r="O19" s="22">
        <v>24</v>
      </c>
      <c r="P19" s="161">
        <f>Q19/O19</f>
        <v>12358</v>
      </c>
      <c r="Q19" s="50">
        <v>296592</v>
      </c>
      <c r="R19" s="50">
        <v>296592</v>
      </c>
      <c r="S19" s="50">
        <v>296592</v>
      </c>
      <c r="T19" s="50">
        <v>296592</v>
      </c>
      <c r="U19" s="50">
        <v>296592</v>
      </c>
      <c r="V19" s="50">
        <f>U19</f>
        <v>296592</v>
      </c>
      <c r="W19" s="47">
        <f>U19/2</f>
        <v>148296</v>
      </c>
      <c r="X19" s="47">
        <f>W19</f>
        <v>148296</v>
      </c>
      <c r="Y19" s="47">
        <f>U19/2</f>
        <v>148296</v>
      </c>
      <c r="Z19" s="88">
        <f>Y19</f>
        <v>148296</v>
      </c>
    </row>
    <row r="20" spans="1:26" ht="47.25" customHeight="1">
      <c r="A20" s="1018"/>
      <c r="B20" s="1046"/>
      <c r="C20" s="1046"/>
      <c r="D20" s="1046"/>
      <c r="E20" s="1046"/>
      <c r="F20" s="1046"/>
      <c r="G20" s="1046"/>
      <c r="H20" s="1046"/>
      <c r="I20" s="1024"/>
      <c r="J20" s="1025"/>
      <c r="K20" s="1026"/>
      <c r="L20" s="1016"/>
      <c r="M20" s="154" t="s">
        <v>413</v>
      </c>
      <c r="N20" s="588" t="s">
        <v>411</v>
      </c>
      <c r="O20" s="22">
        <v>15</v>
      </c>
      <c r="P20" s="161">
        <f>Q20/O20</f>
        <v>1918.62</v>
      </c>
      <c r="Q20" s="50">
        <v>28779.3</v>
      </c>
      <c r="R20" s="50">
        <v>28779.3</v>
      </c>
      <c r="S20" s="50">
        <v>28779.3</v>
      </c>
      <c r="T20" s="50">
        <v>28779.3</v>
      </c>
      <c r="U20" s="50">
        <v>28779.3</v>
      </c>
      <c r="V20" s="50">
        <f>U20</f>
        <v>28779.3</v>
      </c>
      <c r="W20" s="47">
        <f>U20/2</f>
        <v>14389.65</v>
      </c>
      <c r="X20" s="47">
        <f>W20</f>
        <v>14389.65</v>
      </c>
      <c r="Y20" s="47">
        <f>U20/2</f>
        <v>14389.65</v>
      </c>
      <c r="Z20" s="88">
        <f>Y20</f>
        <v>14389.65</v>
      </c>
    </row>
    <row r="21" spans="1:26" ht="85.5" customHeight="1">
      <c r="A21" s="1018"/>
      <c r="B21" s="1046"/>
      <c r="C21" s="1046"/>
      <c r="D21" s="1046"/>
      <c r="E21" s="1046"/>
      <c r="F21" s="1046"/>
      <c r="G21" s="1046"/>
      <c r="H21" s="1046"/>
      <c r="I21" s="152" t="s">
        <v>622</v>
      </c>
      <c r="J21" s="21">
        <v>87600</v>
      </c>
      <c r="K21" s="20">
        <v>90087</v>
      </c>
      <c r="L21" s="33" t="s">
        <v>414</v>
      </c>
      <c r="M21" s="151" t="s">
        <v>415</v>
      </c>
      <c r="N21" s="588"/>
      <c r="O21" s="162"/>
      <c r="P21" s="22"/>
      <c r="Q21" s="50">
        <v>90087</v>
      </c>
      <c r="R21" s="50">
        <v>90087</v>
      </c>
      <c r="S21" s="50">
        <v>90087</v>
      </c>
      <c r="T21" s="50">
        <v>90087</v>
      </c>
      <c r="U21" s="50">
        <v>90087</v>
      </c>
      <c r="V21" s="50">
        <f>U21</f>
        <v>90087</v>
      </c>
      <c r="W21" s="47">
        <f>U21/2</f>
        <v>45043.5</v>
      </c>
      <c r="X21" s="47">
        <f>W21</f>
        <v>45043.5</v>
      </c>
      <c r="Y21" s="47">
        <f>U21/2</f>
        <v>45043.5</v>
      </c>
      <c r="Z21" s="88">
        <f>Y21</f>
        <v>45043.5</v>
      </c>
    </row>
    <row r="22" spans="1:32" ht="232.5" customHeight="1">
      <c r="A22" s="1018"/>
      <c r="B22" s="1046"/>
      <c r="C22" s="1046"/>
      <c r="D22" s="1046"/>
      <c r="E22" s="1046"/>
      <c r="F22" s="1046"/>
      <c r="G22" s="1046"/>
      <c r="H22" s="1046"/>
      <c r="I22" s="152" t="s">
        <v>623</v>
      </c>
      <c r="J22" s="697">
        <v>759429.6</v>
      </c>
      <c r="K22" s="698">
        <v>559371.43</v>
      </c>
      <c r="L22" s="699" t="s">
        <v>416</v>
      </c>
      <c r="M22" s="151" t="s">
        <v>696</v>
      </c>
      <c r="N22" s="587"/>
      <c r="O22" s="163"/>
      <c r="P22" s="163"/>
      <c r="Q22" s="20" t="e">
        <f>#REF!+#REF!+#REF!</f>
        <v>#REF!</v>
      </c>
      <c r="R22" s="20" t="e">
        <f>#REF!+#REF!+#REF!</f>
        <v>#REF!</v>
      </c>
      <c r="S22" s="20" t="e">
        <f>#REF!+#REF!+#REF!</f>
        <v>#REF!</v>
      </c>
      <c r="T22" s="20" t="e">
        <f>#REF!+#REF!+#REF!</f>
        <v>#REF!</v>
      </c>
      <c r="U22" s="88">
        <v>801972.89</v>
      </c>
      <c r="V22" s="88">
        <v>801972.89</v>
      </c>
      <c r="W22" s="88">
        <v>400986.445</v>
      </c>
      <c r="X22" s="88">
        <v>400986.445</v>
      </c>
      <c r="Y22" s="88">
        <v>400986.445</v>
      </c>
      <c r="Z22" s="88">
        <v>400986.445</v>
      </c>
      <c r="AA22" s="1">
        <v>801972.89</v>
      </c>
      <c r="AB22" s="1">
        <v>801972.89</v>
      </c>
      <c r="AC22" s="1">
        <v>400986.445</v>
      </c>
      <c r="AD22" s="1">
        <v>400986.445</v>
      </c>
      <c r="AE22" s="1">
        <v>400986.445</v>
      </c>
      <c r="AF22" s="1">
        <v>400986.445</v>
      </c>
    </row>
    <row r="23" spans="1:26" ht="168" customHeight="1">
      <c r="A23" s="147" t="s">
        <v>417</v>
      </c>
      <c r="B23" s="686" t="s">
        <v>6</v>
      </c>
      <c r="C23" s="686" t="s">
        <v>7</v>
      </c>
      <c r="D23" s="686" t="s">
        <v>407</v>
      </c>
      <c r="E23" s="686" t="s">
        <v>8</v>
      </c>
      <c r="F23" s="686" t="s">
        <v>418</v>
      </c>
      <c r="G23" s="686" t="s">
        <v>475</v>
      </c>
      <c r="H23" s="686" t="s">
        <v>9</v>
      </c>
      <c r="I23" s="166" t="s">
        <v>649</v>
      </c>
      <c r="J23" s="747">
        <f>J24+J25</f>
        <v>30336170.28</v>
      </c>
      <c r="K23" s="745">
        <f>K24+K25</f>
        <v>72381614.48</v>
      </c>
      <c r="L23" s="167"/>
      <c r="M23" s="149"/>
      <c r="N23" s="150"/>
      <c r="O23" s="160"/>
      <c r="P23" s="160"/>
      <c r="Q23" s="744" t="e">
        <f aca="true" t="shared" si="8" ref="Q23:Z23">Q24+Q25</f>
        <v>#REF!</v>
      </c>
      <c r="R23" s="744" t="e">
        <f t="shared" si="8"/>
        <v>#REF!</v>
      </c>
      <c r="S23" s="744" t="e">
        <f t="shared" si="8"/>
        <v>#REF!</v>
      </c>
      <c r="T23" s="744" t="e">
        <f t="shared" si="8"/>
        <v>#REF!</v>
      </c>
      <c r="U23" s="745">
        <f t="shared" si="8"/>
        <v>72381614.48</v>
      </c>
      <c r="V23" s="745">
        <f t="shared" si="8"/>
        <v>72381614.48</v>
      </c>
      <c r="W23" s="745">
        <f t="shared" si="8"/>
        <v>36190807.24</v>
      </c>
      <c r="X23" s="745">
        <f t="shared" si="8"/>
        <v>36190807.24</v>
      </c>
      <c r="Y23" s="745">
        <f t="shared" si="8"/>
        <v>36190807.24</v>
      </c>
      <c r="Z23" s="745">
        <f t="shared" si="8"/>
        <v>36190807.24</v>
      </c>
    </row>
    <row r="24" spans="1:26" ht="90.75" customHeight="1">
      <c r="A24" s="168" t="s">
        <v>12</v>
      </c>
      <c r="B24" s="1047"/>
      <c r="C24" s="1048"/>
      <c r="D24" s="1048"/>
      <c r="E24" s="1048"/>
      <c r="F24" s="1048"/>
      <c r="G24" s="1048"/>
      <c r="H24" s="1049"/>
      <c r="I24" s="1027" t="s">
        <v>624</v>
      </c>
      <c r="J24" s="694">
        <f>29451930.28-63760</f>
        <v>29388170.28</v>
      </c>
      <c r="K24" s="694">
        <v>71763232.48</v>
      </c>
      <c r="L24" s="155" t="s">
        <v>419</v>
      </c>
      <c r="M24" s="151" t="s">
        <v>696</v>
      </c>
      <c r="N24" s="590" t="s">
        <v>326</v>
      </c>
      <c r="O24" s="169" t="e">
        <f>#REF!+#REF!+#REF!+#REF!+#REF!+#REF!+#REF!</f>
        <v>#REF!</v>
      </c>
      <c r="P24" s="170" t="e">
        <f>Q24/O24</f>
        <v>#REF!</v>
      </c>
      <c r="Q24" s="171" t="e">
        <f>#REF!+#REF!+#REF!+#REF!+#REF!+#REF!+#REF!</f>
        <v>#REF!</v>
      </c>
      <c r="R24" s="171" t="e">
        <f>SUM(#REF!)</f>
        <v>#REF!</v>
      </c>
      <c r="S24" s="171" t="e">
        <f>SUM(#REF!)</f>
        <v>#REF!</v>
      </c>
      <c r="T24" s="171" t="e">
        <f>SUM(#REF!)</f>
        <v>#REF!</v>
      </c>
      <c r="U24" s="47">
        <v>71763232.48</v>
      </c>
      <c r="V24" s="47">
        <v>71763232.48</v>
      </c>
      <c r="W24" s="47">
        <v>35881616.24</v>
      </c>
      <c r="X24" s="47">
        <v>35881616.24</v>
      </c>
      <c r="Y24" s="47">
        <v>35881616.24</v>
      </c>
      <c r="Z24" s="47">
        <v>35881616.24</v>
      </c>
    </row>
    <row r="25" spans="1:27" ht="74.25" customHeight="1">
      <c r="A25" s="168" t="s">
        <v>13</v>
      </c>
      <c r="B25" s="1050"/>
      <c r="C25" s="1051"/>
      <c r="D25" s="1051"/>
      <c r="E25" s="1051"/>
      <c r="F25" s="1051"/>
      <c r="G25" s="1051"/>
      <c r="H25" s="1052"/>
      <c r="I25" s="1028"/>
      <c r="J25" s="693">
        <f>948000</f>
        <v>948000</v>
      </c>
      <c r="K25" s="695">
        <v>618382</v>
      </c>
      <c r="L25" s="155" t="s">
        <v>419</v>
      </c>
      <c r="M25" s="151" t="s">
        <v>696</v>
      </c>
      <c r="N25" s="589" t="s">
        <v>326</v>
      </c>
      <c r="O25" s="25">
        <v>2635</v>
      </c>
      <c r="P25" s="26" t="e">
        <f>Q25/O25</f>
        <v>#REF!</v>
      </c>
      <c r="Q25" s="27" t="e">
        <f>SUM(#REF!)</f>
        <v>#REF!</v>
      </c>
      <c r="R25" s="28" t="e">
        <f>Q25</f>
        <v>#REF!</v>
      </c>
      <c r="S25" s="28" t="e">
        <f>Q25</f>
        <v>#REF!</v>
      </c>
      <c r="T25" s="28" t="e">
        <f>Q25</f>
        <v>#REF!</v>
      </c>
      <c r="U25" s="48">
        <v>618382</v>
      </c>
      <c r="V25" s="48">
        <v>618382</v>
      </c>
      <c r="W25" s="48">
        <v>309191</v>
      </c>
      <c r="X25" s="48">
        <v>309191</v>
      </c>
      <c r="Y25" s="48">
        <v>309191</v>
      </c>
      <c r="Z25" s="48">
        <v>309191</v>
      </c>
      <c r="AA25" s="6"/>
    </row>
    <row r="26" spans="1:26" ht="181.5" customHeight="1">
      <c r="A26" s="172" t="s">
        <v>650</v>
      </c>
      <c r="B26" s="746" t="s">
        <v>6</v>
      </c>
      <c r="C26" s="746" t="s">
        <v>7</v>
      </c>
      <c r="D26" s="746" t="s">
        <v>420</v>
      </c>
      <c r="E26" s="746" t="s">
        <v>8</v>
      </c>
      <c r="F26" s="746" t="s">
        <v>421</v>
      </c>
      <c r="G26" s="746" t="s">
        <v>476</v>
      </c>
      <c r="H26" s="746" t="s">
        <v>9</v>
      </c>
      <c r="I26" s="166" t="s">
        <v>422</v>
      </c>
      <c r="J26" s="173">
        <f>J27</f>
        <v>0</v>
      </c>
      <c r="K26" s="747">
        <v>150000</v>
      </c>
      <c r="L26" s="174"/>
      <c r="M26" s="175"/>
      <c r="N26" s="176"/>
      <c r="O26" s="177">
        <f>O27+O28+O29</f>
        <v>240</v>
      </c>
      <c r="P26" s="177"/>
      <c r="Q26" s="177">
        <f aca="true" t="shared" si="9" ref="Q26:Z26">Q27+Q28+Q29</f>
        <v>264296</v>
      </c>
      <c r="R26" s="177">
        <f t="shared" si="9"/>
        <v>264296</v>
      </c>
      <c r="S26" s="177">
        <f t="shared" si="9"/>
        <v>264296</v>
      </c>
      <c r="T26" s="177">
        <f t="shared" si="9"/>
        <v>264296</v>
      </c>
      <c r="U26" s="747">
        <f t="shared" si="9"/>
        <v>200000</v>
      </c>
      <c r="V26" s="747">
        <f t="shared" si="9"/>
        <v>200000</v>
      </c>
      <c r="W26" s="747">
        <f t="shared" si="9"/>
        <v>100000</v>
      </c>
      <c r="X26" s="747">
        <f t="shared" si="9"/>
        <v>100000</v>
      </c>
      <c r="Y26" s="747">
        <f t="shared" si="9"/>
        <v>100000</v>
      </c>
      <c r="Z26" s="747">
        <f t="shared" si="9"/>
        <v>100000</v>
      </c>
    </row>
    <row r="27" spans="1:26" ht="151.5" customHeight="1">
      <c r="A27" s="989" t="s">
        <v>423</v>
      </c>
      <c r="B27" s="1021"/>
      <c r="C27" s="1021"/>
      <c r="D27" s="1021"/>
      <c r="E27" s="1021"/>
      <c r="F27" s="1021"/>
      <c r="G27" s="1021"/>
      <c r="H27" s="1021"/>
      <c r="I27" s="982" t="s">
        <v>424</v>
      </c>
      <c r="J27" s="950">
        <v>0</v>
      </c>
      <c r="K27" s="1022">
        <v>150000</v>
      </c>
      <c r="L27" s="1023" t="s">
        <v>419</v>
      </c>
      <c r="M27" s="72" t="s">
        <v>715</v>
      </c>
      <c r="N27" s="588" t="s">
        <v>425</v>
      </c>
      <c r="O27" s="178">
        <v>10</v>
      </c>
      <c r="P27" s="178">
        <v>4282</v>
      </c>
      <c r="Q27" s="23">
        <f>ROUND(P27*O27,0)</f>
        <v>42820</v>
      </c>
      <c r="R27" s="179">
        <v>42820</v>
      </c>
      <c r="S27" s="179">
        <v>42820</v>
      </c>
      <c r="T27" s="179">
        <v>42820</v>
      </c>
      <c r="U27" s="47">
        <v>34256</v>
      </c>
      <c r="V27" s="47">
        <f>U27</f>
        <v>34256</v>
      </c>
      <c r="W27" s="47">
        <f>U27/2</f>
        <v>17128</v>
      </c>
      <c r="X27" s="47">
        <f>W27</f>
        <v>17128</v>
      </c>
      <c r="Y27" s="47">
        <f>U27/2</f>
        <v>17128</v>
      </c>
      <c r="Z27" s="88">
        <f>Y27</f>
        <v>17128</v>
      </c>
    </row>
    <row r="28" spans="1:27" ht="105.75" customHeight="1">
      <c r="A28" s="989"/>
      <c r="B28" s="993"/>
      <c r="C28" s="993"/>
      <c r="D28" s="993"/>
      <c r="E28" s="993"/>
      <c r="F28" s="993"/>
      <c r="G28" s="993"/>
      <c r="H28" s="993"/>
      <c r="I28" s="982"/>
      <c r="J28" s="950"/>
      <c r="K28" s="1022"/>
      <c r="L28" s="1023"/>
      <c r="M28" s="72" t="s">
        <v>426</v>
      </c>
      <c r="N28" s="588" t="s">
        <v>425</v>
      </c>
      <c r="O28" s="178">
        <v>150</v>
      </c>
      <c r="P28" s="178">
        <v>784.9</v>
      </c>
      <c r="Q28" s="23">
        <f>ROUND(P28*O28,0)</f>
        <v>117735</v>
      </c>
      <c r="R28" s="179">
        <v>117735</v>
      </c>
      <c r="S28" s="179">
        <v>117735</v>
      </c>
      <c r="T28" s="179">
        <v>117735</v>
      </c>
      <c r="U28" s="47">
        <v>87938.4</v>
      </c>
      <c r="V28" s="47">
        <f>U28</f>
        <v>87938.4</v>
      </c>
      <c r="W28" s="47">
        <f>U28/2</f>
        <v>43969.2</v>
      </c>
      <c r="X28" s="47">
        <f>W28</f>
        <v>43969.2</v>
      </c>
      <c r="Y28" s="47">
        <f>U28/2</f>
        <v>43969.2</v>
      </c>
      <c r="Z28" s="88">
        <f>Y28</f>
        <v>43969.2</v>
      </c>
      <c r="AA28" s="1">
        <f>Z28*P28</f>
        <v>34511425.08</v>
      </c>
    </row>
    <row r="29" spans="1:27" ht="140.25" customHeight="1">
      <c r="A29" s="989"/>
      <c r="B29" s="993"/>
      <c r="C29" s="993"/>
      <c r="D29" s="993"/>
      <c r="E29" s="993"/>
      <c r="F29" s="993"/>
      <c r="G29" s="993"/>
      <c r="H29" s="993"/>
      <c r="I29" s="982"/>
      <c r="J29" s="950"/>
      <c r="K29" s="1022"/>
      <c r="L29" s="1023"/>
      <c r="M29" s="72" t="s">
        <v>427</v>
      </c>
      <c r="N29" s="588" t="s">
        <v>425</v>
      </c>
      <c r="O29" s="178">
        <v>80</v>
      </c>
      <c r="P29" s="178">
        <v>1296.76</v>
      </c>
      <c r="Q29" s="23">
        <f>ROUND(P29*O29,0)</f>
        <v>103741</v>
      </c>
      <c r="R29" s="179">
        <v>103741</v>
      </c>
      <c r="S29" s="179">
        <v>103741</v>
      </c>
      <c r="T29" s="179">
        <v>103741</v>
      </c>
      <c r="U29" s="47">
        <v>77805.6</v>
      </c>
      <c r="V29" s="47">
        <f>U29</f>
        <v>77805.6</v>
      </c>
      <c r="W29" s="47">
        <f>U29/2</f>
        <v>38902.8</v>
      </c>
      <c r="X29" s="47">
        <f>W29</f>
        <v>38902.8</v>
      </c>
      <c r="Y29" s="47">
        <f>U29/2</f>
        <v>38902.8</v>
      </c>
      <c r="Z29" s="88">
        <f>Y29</f>
        <v>38902.8</v>
      </c>
      <c r="AA29" s="1">
        <f>Z29*P29</f>
        <v>50447594.928</v>
      </c>
    </row>
    <row r="30" spans="1:26" ht="164.25" customHeight="1">
      <c r="A30" s="172" t="s">
        <v>428</v>
      </c>
      <c r="B30" s="746" t="s">
        <v>6</v>
      </c>
      <c r="C30" s="746" t="s">
        <v>7</v>
      </c>
      <c r="D30" s="746" t="s">
        <v>420</v>
      </c>
      <c r="E30" s="746" t="s">
        <v>8</v>
      </c>
      <c r="F30" s="746" t="s">
        <v>429</v>
      </c>
      <c r="G30" s="746" t="s">
        <v>477</v>
      </c>
      <c r="H30" s="746" t="s">
        <v>9</v>
      </c>
      <c r="I30" s="166" t="s">
        <v>430</v>
      </c>
      <c r="J30" s="173">
        <f>J31+J32+J33+J34+J37+J38</f>
        <v>800000</v>
      </c>
      <c r="K30" s="745">
        <f>K31+K32+K33+K34+K37+K38</f>
        <v>1650000</v>
      </c>
      <c r="L30" s="167"/>
      <c r="M30" s="149"/>
      <c r="N30" s="150"/>
      <c r="O30" s="160"/>
      <c r="P30" s="160"/>
      <c r="Q30" s="744" t="e">
        <f>Q31+Q32+Q33+Q34+Q37+Q38</f>
        <v>#REF!</v>
      </c>
      <c r="R30" s="744" t="e">
        <f>R31+R32+R33+R34+R37+R38</f>
        <v>#REF!</v>
      </c>
      <c r="S30" s="744" t="e">
        <f>S31+S32+S33+S34+S37+S38</f>
        <v>#REF!</v>
      </c>
      <c r="T30" s="744" t="e">
        <f>T31+T32+T33+T34+T37+T38</f>
        <v>#REF!</v>
      </c>
      <c r="U30" s="745">
        <f aca="true" t="shared" si="10" ref="U30:Z30">U31+U32+U33+U34+U37+U38+U35+U36</f>
        <v>1650000</v>
      </c>
      <c r="V30" s="745">
        <f t="shared" si="10"/>
        <v>1650000</v>
      </c>
      <c r="W30" s="745">
        <f t="shared" si="10"/>
        <v>825000</v>
      </c>
      <c r="X30" s="745">
        <f t="shared" si="10"/>
        <v>825000</v>
      </c>
      <c r="Y30" s="745">
        <f t="shared" si="10"/>
        <v>825000</v>
      </c>
      <c r="Z30" s="745">
        <f t="shared" si="10"/>
        <v>825000</v>
      </c>
    </row>
    <row r="31" spans="1:26" ht="50.25" customHeight="1">
      <c r="A31" s="1018" t="s">
        <v>431</v>
      </c>
      <c r="B31" s="1019"/>
      <c r="C31" s="1019"/>
      <c r="D31" s="1019"/>
      <c r="E31" s="1019"/>
      <c r="F31" s="1019"/>
      <c r="G31" s="1019"/>
      <c r="H31" s="1019"/>
      <c r="I31" s="992" t="s">
        <v>625</v>
      </c>
      <c r="J31" s="35">
        <v>150000</v>
      </c>
      <c r="K31" s="29">
        <v>140000</v>
      </c>
      <c r="L31" s="33">
        <v>226</v>
      </c>
      <c r="M31" s="151" t="s">
        <v>528</v>
      </c>
      <c r="N31" s="591" t="s">
        <v>245</v>
      </c>
      <c r="O31" s="31">
        <v>110</v>
      </c>
      <c r="P31" s="32">
        <v>1500</v>
      </c>
      <c r="Q31" s="32">
        <v>165000</v>
      </c>
      <c r="R31" s="32">
        <v>165000</v>
      </c>
      <c r="S31" s="32">
        <v>165000</v>
      </c>
      <c r="T31" s="32">
        <v>165000</v>
      </c>
      <c r="U31" s="32">
        <v>165000</v>
      </c>
      <c r="V31" s="32">
        <f>U31</f>
        <v>165000</v>
      </c>
      <c r="W31" s="90">
        <f aca="true" t="shared" si="11" ref="W31:W37">U31/2</f>
        <v>82500</v>
      </c>
      <c r="X31" s="90">
        <f>W31</f>
        <v>82500</v>
      </c>
      <c r="Y31" s="90">
        <f aca="true" t="shared" si="12" ref="Y31:Y37">U31/2</f>
        <v>82500</v>
      </c>
      <c r="Z31" s="88">
        <f>Y31</f>
        <v>82500</v>
      </c>
    </row>
    <row r="32" spans="1:26" ht="75" customHeight="1">
      <c r="A32" s="1018"/>
      <c r="B32" s="1019"/>
      <c r="C32" s="1019"/>
      <c r="D32" s="1019"/>
      <c r="E32" s="1019"/>
      <c r="F32" s="1019"/>
      <c r="G32" s="1019"/>
      <c r="H32" s="1019"/>
      <c r="I32" s="992"/>
      <c r="J32" s="35">
        <v>13862.24</v>
      </c>
      <c r="K32" s="29">
        <v>39900</v>
      </c>
      <c r="L32" s="33">
        <v>226</v>
      </c>
      <c r="M32" s="151" t="s">
        <v>529</v>
      </c>
      <c r="N32" s="591" t="s">
        <v>245</v>
      </c>
      <c r="O32" s="31">
        <v>150</v>
      </c>
      <c r="P32" s="32">
        <v>260</v>
      </c>
      <c r="Q32" s="32">
        <v>39000</v>
      </c>
      <c r="R32" s="32">
        <v>39000</v>
      </c>
      <c r="S32" s="32">
        <v>39000</v>
      </c>
      <c r="T32" s="32">
        <v>39000</v>
      </c>
      <c r="U32" s="32">
        <v>39900</v>
      </c>
      <c r="V32" s="32">
        <f aca="true" t="shared" si="13" ref="V32:V37">U32</f>
        <v>39900</v>
      </c>
      <c r="W32" s="90">
        <f t="shared" si="11"/>
        <v>19950</v>
      </c>
      <c r="X32" s="90">
        <f aca="true" t="shared" si="14" ref="X32:X37">W32</f>
        <v>19950</v>
      </c>
      <c r="Y32" s="90">
        <f t="shared" si="12"/>
        <v>19950</v>
      </c>
      <c r="Z32" s="88">
        <f aca="true" t="shared" si="15" ref="Z32:Z37">Y32</f>
        <v>19950</v>
      </c>
    </row>
    <row r="33" spans="1:26" ht="117.75" customHeight="1">
      <c r="A33" s="1018"/>
      <c r="B33" s="1019"/>
      <c r="C33" s="1019"/>
      <c r="D33" s="1019"/>
      <c r="E33" s="1019"/>
      <c r="F33" s="1019"/>
      <c r="G33" s="1019"/>
      <c r="H33" s="1019"/>
      <c r="I33" s="180" t="s">
        <v>626</v>
      </c>
      <c r="J33" s="35">
        <v>50000</v>
      </c>
      <c r="K33" s="29">
        <v>30000</v>
      </c>
      <c r="L33" s="181">
        <v>226</v>
      </c>
      <c r="M33" s="151" t="s">
        <v>527</v>
      </c>
      <c r="N33" s="591" t="s">
        <v>245</v>
      </c>
      <c r="O33" s="31">
        <v>4</v>
      </c>
      <c r="P33" s="32">
        <v>25000</v>
      </c>
      <c r="Q33" s="32">
        <v>100000</v>
      </c>
      <c r="R33" s="32">
        <v>100000</v>
      </c>
      <c r="S33" s="32">
        <v>100000</v>
      </c>
      <c r="T33" s="32">
        <v>100000</v>
      </c>
      <c r="U33" s="32">
        <v>69000</v>
      </c>
      <c r="V33" s="32">
        <f t="shared" si="13"/>
        <v>69000</v>
      </c>
      <c r="W33" s="90">
        <f t="shared" si="11"/>
        <v>34500</v>
      </c>
      <c r="X33" s="90">
        <f t="shared" si="14"/>
        <v>34500</v>
      </c>
      <c r="Y33" s="90">
        <f t="shared" si="12"/>
        <v>34500</v>
      </c>
      <c r="Z33" s="88">
        <f t="shared" si="15"/>
        <v>34500</v>
      </c>
    </row>
    <row r="34" spans="1:29" ht="138" customHeight="1">
      <c r="A34" s="1018"/>
      <c r="B34" s="1019"/>
      <c r="C34" s="1019"/>
      <c r="D34" s="1019"/>
      <c r="E34" s="1019"/>
      <c r="F34" s="1019"/>
      <c r="G34" s="1019"/>
      <c r="H34" s="1019"/>
      <c r="I34" s="180" t="s">
        <v>627</v>
      </c>
      <c r="J34" s="35">
        <v>166137.76</v>
      </c>
      <c r="K34" s="54">
        <v>899140</v>
      </c>
      <c r="L34" s="18" t="s">
        <v>11</v>
      </c>
      <c r="M34" s="151" t="s">
        <v>432</v>
      </c>
      <c r="N34" s="588" t="s">
        <v>326</v>
      </c>
      <c r="O34" s="34" t="e">
        <f>SUM(#REF!)</f>
        <v>#REF!</v>
      </c>
      <c r="P34" s="34" t="e">
        <f>Q34/O34</f>
        <v>#REF!</v>
      </c>
      <c r="Q34" s="34" t="e">
        <f>SUM(#REF!)</f>
        <v>#REF!</v>
      </c>
      <c r="R34" s="34" t="e">
        <f>SUM(#REF!)</f>
        <v>#REF!</v>
      </c>
      <c r="S34" s="34" t="e">
        <f>SUM(#REF!)</f>
        <v>#REF!</v>
      </c>
      <c r="T34" s="34" t="e">
        <f>SUM(#REF!)</f>
        <v>#REF!</v>
      </c>
      <c r="U34" s="34">
        <v>813100</v>
      </c>
      <c r="V34" s="32">
        <f t="shared" si="13"/>
        <v>813100</v>
      </c>
      <c r="W34" s="34">
        <f t="shared" si="11"/>
        <v>406550</v>
      </c>
      <c r="X34" s="90">
        <f t="shared" si="14"/>
        <v>406550</v>
      </c>
      <c r="Y34" s="34">
        <f t="shared" si="12"/>
        <v>406550</v>
      </c>
      <c r="Z34" s="88">
        <f t="shared" si="15"/>
        <v>406550</v>
      </c>
      <c r="AA34" s="15" t="e">
        <f>Z34/R34*100</f>
        <v>#REF!</v>
      </c>
      <c r="AC34" s="15" t="e">
        <f>#REF!+#REF!+#REF!+#REF!+#REF!+#REF!+#REF!+#REF!+#REF!+#REF!+#REF!+#REF!+#REF!+#REF!+#REF!-Z34</f>
        <v>#REF!</v>
      </c>
    </row>
    <row r="35" spans="1:29" ht="108.75" customHeight="1">
      <c r="A35" s="1018"/>
      <c r="B35" s="1019"/>
      <c r="C35" s="1019"/>
      <c r="D35" s="1019"/>
      <c r="E35" s="1019"/>
      <c r="F35" s="1019"/>
      <c r="G35" s="1019"/>
      <c r="H35" s="1019"/>
      <c r="I35" s="992" t="s">
        <v>628</v>
      </c>
      <c r="J35" s="35"/>
      <c r="K35" s="54"/>
      <c r="L35" s="18" t="s">
        <v>214</v>
      </c>
      <c r="M35" s="151" t="s">
        <v>530</v>
      </c>
      <c r="N35" s="588"/>
      <c r="O35" s="34"/>
      <c r="P35" s="34"/>
      <c r="Q35" s="34"/>
      <c r="R35" s="34"/>
      <c r="S35" s="34"/>
      <c r="T35" s="34"/>
      <c r="U35" s="34">
        <v>200000</v>
      </c>
      <c r="V35" s="32">
        <f t="shared" si="13"/>
        <v>200000</v>
      </c>
      <c r="W35" s="34">
        <f t="shared" si="11"/>
        <v>100000</v>
      </c>
      <c r="X35" s="90">
        <f t="shared" si="14"/>
        <v>100000</v>
      </c>
      <c r="Y35" s="34">
        <f t="shared" si="12"/>
        <v>100000</v>
      </c>
      <c r="Z35" s="88">
        <f t="shared" si="15"/>
        <v>100000</v>
      </c>
      <c r="AA35" s="15"/>
      <c r="AC35" s="15"/>
    </row>
    <row r="36" spans="1:29" ht="100.5" customHeight="1">
      <c r="A36" s="1018"/>
      <c r="B36" s="1019"/>
      <c r="C36" s="1019"/>
      <c r="D36" s="1019"/>
      <c r="E36" s="1019"/>
      <c r="F36" s="1019"/>
      <c r="G36" s="1019"/>
      <c r="H36" s="1019"/>
      <c r="I36" s="992"/>
      <c r="J36" s="35"/>
      <c r="K36" s="54"/>
      <c r="L36" s="18" t="s">
        <v>531</v>
      </c>
      <c r="M36" s="151" t="s">
        <v>532</v>
      </c>
      <c r="N36" s="588"/>
      <c r="O36" s="34"/>
      <c r="P36" s="34"/>
      <c r="Q36" s="34"/>
      <c r="R36" s="34"/>
      <c r="S36" s="34"/>
      <c r="T36" s="34"/>
      <c r="U36" s="34">
        <v>100000</v>
      </c>
      <c r="V36" s="32">
        <f t="shared" si="13"/>
        <v>100000</v>
      </c>
      <c r="W36" s="34">
        <f t="shared" si="11"/>
        <v>50000</v>
      </c>
      <c r="X36" s="90">
        <f t="shared" si="14"/>
        <v>50000</v>
      </c>
      <c r="Y36" s="34">
        <f t="shared" si="12"/>
        <v>50000</v>
      </c>
      <c r="Z36" s="88">
        <f t="shared" si="15"/>
        <v>50000</v>
      </c>
      <c r="AA36" s="15"/>
      <c r="AC36" s="15"/>
    </row>
    <row r="37" spans="1:26" ht="162" customHeight="1">
      <c r="A37" s="1018"/>
      <c r="B37" s="1019"/>
      <c r="C37" s="1019"/>
      <c r="D37" s="1019"/>
      <c r="E37" s="1019"/>
      <c r="F37" s="1019"/>
      <c r="G37" s="1019"/>
      <c r="H37" s="1019"/>
      <c r="I37" s="180" t="s">
        <v>629</v>
      </c>
      <c r="J37" s="35">
        <v>50000</v>
      </c>
      <c r="K37" s="29">
        <v>40960</v>
      </c>
      <c r="L37" s="18">
        <v>222</v>
      </c>
      <c r="M37" s="151" t="s">
        <v>533</v>
      </c>
      <c r="N37" s="588" t="s">
        <v>245</v>
      </c>
      <c r="O37" s="36">
        <v>20</v>
      </c>
      <c r="P37" s="34">
        <v>3250</v>
      </c>
      <c r="Q37" s="34">
        <v>65000</v>
      </c>
      <c r="R37" s="34">
        <v>65000</v>
      </c>
      <c r="S37" s="34">
        <v>65000</v>
      </c>
      <c r="T37" s="34">
        <v>65000</v>
      </c>
      <c r="U37" s="34">
        <v>65000</v>
      </c>
      <c r="V37" s="32">
        <f t="shared" si="13"/>
        <v>65000</v>
      </c>
      <c r="W37" s="90">
        <f t="shared" si="11"/>
        <v>32500</v>
      </c>
      <c r="X37" s="90">
        <f t="shared" si="14"/>
        <v>32500</v>
      </c>
      <c r="Y37" s="90">
        <f t="shared" si="12"/>
        <v>32500</v>
      </c>
      <c r="Z37" s="88">
        <f t="shared" si="15"/>
        <v>32500</v>
      </c>
    </row>
    <row r="38" spans="1:26" ht="55.5" customHeight="1">
      <c r="A38" s="1018"/>
      <c r="B38" s="1019"/>
      <c r="C38" s="1019"/>
      <c r="D38" s="1019"/>
      <c r="E38" s="1019"/>
      <c r="F38" s="1019"/>
      <c r="G38" s="1019"/>
      <c r="H38" s="1019"/>
      <c r="I38" s="1018" t="s">
        <v>630</v>
      </c>
      <c r="J38" s="1020">
        <v>370000</v>
      </c>
      <c r="K38" s="1015">
        <v>500000</v>
      </c>
      <c r="L38" s="1016" t="s">
        <v>85</v>
      </c>
      <c r="M38" s="151" t="s">
        <v>433</v>
      </c>
      <c r="N38" s="591" t="s">
        <v>245</v>
      </c>
      <c r="O38" s="37">
        <f>SUM(O39:O42)</f>
        <v>4</v>
      </c>
      <c r="P38" s="37">
        <v>188157</v>
      </c>
      <c r="Q38" s="37">
        <f>SUM(Q39:Q42)</f>
        <v>330000</v>
      </c>
      <c r="R38" s="37">
        <f>SUM(R39:R42)</f>
        <v>330000</v>
      </c>
      <c r="S38" s="37">
        <f>SUM(S39:S42)</f>
        <v>330000</v>
      </c>
      <c r="T38" s="37">
        <f>SUM(T39:T42)</f>
        <v>330000</v>
      </c>
      <c r="U38" s="34">
        <f aca="true" t="shared" si="16" ref="U38:Z38">U39+U40+U41+U42</f>
        <v>198000</v>
      </c>
      <c r="V38" s="34">
        <f t="shared" si="16"/>
        <v>198000</v>
      </c>
      <c r="W38" s="34">
        <f t="shared" si="16"/>
        <v>99000</v>
      </c>
      <c r="X38" s="34">
        <f t="shared" si="16"/>
        <v>99000</v>
      </c>
      <c r="Y38" s="34">
        <f t="shared" si="16"/>
        <v>99000</v>
      </c>
      <c r="Z38" s="34">
        <f t="shared" si="16"/>
        <v>99000</v>
      </c>
    </row>
    <row r="39" spans="1:26" ht="58.5" customHeight="1">
      <c r="A39" s="798"/>
      <c r="B39" s="842"/>
      <c r="C39" s="842"/>
      <c r="D39" s="842"/>
      <c r="E39" s="842"/>
      <c r="F39" s="842"/>
      <c r="G39" s="842"/>
      <c r="H39" s="842"/>
      <c r="I39" s="1018"/>
      <c r="J39" s="1020"/>
      <c r="K39" s="1015"/>
      <c r="L39" s="1016"/>
      <c r="M39" s="151" t="s">
        <v>571</v>
      </c>
      <c r="N39" s="591" t="s">
        <v>245</v>
      </c>
      <c r="O39" s="38">
        <v>1</v>
      </c>
      <c r="P39" s="38">
        <v>80000</v>
      </c>
      <c r="Q39" s="23">
        <f>ROUND(P39*O39,0)</f>
        <v>80000</v>
      </c>
      <c r="R39" s="32">
        <v>80000</v>
      </c>
      <c r="S39" s="32">
        <v>80000</v>
      </c>
      <c r="T39" s="32">
        <v>80000</v>
      </c>
      <c r="U39" s="91">
        <v>70000</v>
      </c>
      <c r="V39" s="91">
        <f>U39</f>
        <v>70000</v>
      </c>
      <c r="W39" s="90">
        <v>0</v>
      </c>
      <c r="X39" s="90">
        <f>W39</f>
        <v>0</v>
      </c>
      <c r="Y39" s="90">
        <v>0</v>
      </c>
      <c r="Z39" s="88">
        <f>Y39</f>
        <v>0</v>
      </c>
    </row>
    <row r="40" spans="1:26" ht="32.25" customHeight="1">
      <c r="A40" s="798"/>
      <c r="B40" s="842"/>
      <c r="C40" s="842"/>
      <c r="D40" s="842"/>
      <c r="E40" s="842"/>
      <c r="F40" s="842"/>
      <c r="G40" s="842"/>
      <c r="H40" s="842"/>
      <c r="I40" s="1018"/>
      <c r="J40" s="1020"/>
      <c r="K40" s="1015"/>
      <c r="L40" s="1016"/>
      <c r="M40" s="151" t="s">
        <v>434</v>
      </c>
      <c r="N40" s="591" t="s">
        <v>245</v>
      </c>
      <c r="O40" s="38">
        <v>1</v>
      </c>
      <c r="P40" s="38">
        <v>150000</v>
      </c>
      <c r="Q40" s="23">
        <f>ROUND(P40*O40,0)</f>
        <v>150000</v>
      </c>
      <c r="R40" s="32">
        <v>150000</v>
      </c>
      <c r="S40" s="32">
        <v>150000</v>
      </c>
      <c r="T40" s="32">
        <v>150000</v>
      </c>
      <c r="U40" s="91">
        <v>0</v>
      </c>
      <c r="V40" s="91">
        <f>U40</f>
        <v>0</v>
      </c>
      <c r="W40" s="90">
        <v>99000</v>
      </c>
      <c r="X40" s="90">
        <f>W40</f>
        <v>99000</v>
      </c>
      <c r="Y40" s="90">
        <v>99000</v>
      </c>
      <c r="Z40" s="88">
        <f>Y40</f>
        <v>99000</v>
      </c>
    </row>
    <row r="41" spans="1:26" ht="75.75" customHeight="1">
      <c r="A41" s="798"/>
      <c r="B41" s="842"/>
      <c r="C41" s="842"/>
      <c r="D41" s="842"/>
      <c r="E41" s="842"/>
      <c r="F41" s="842"/>
      <c r="G41" s="842"/>
      <c r="H41" s="842"/>
      <c r="I41" s="1018"/>
      <c r="J41" s="1020"/>
      <c r="K41" s="1015"/>
      <c r="L41" s="1016"/>
      <c r="M41" s="151" t="s">
        <v>572</v>
      </c>
      <c r="N41" s="591" t="s">
        <v>245</v>
      </c>
      <c r="O41" s="38">
        <v>1</v>
      </c>
      <c r="P41" s="38">
        <v>40000</v>
      </c>
      <c r="Q41" s="23">
        <f>ROUND(P41*O41,0)</f>
        <v>40000</v>
      </c>
      <c r="R41" s="32">
        <v>40000</v>
      </c>
      <c r="S41" s="32">
        <v>40000</v>
      </c>
      <c r="T41" s="32">
        <v>40000</v>
      </c>
      <c r="U41" s="91">
        <v>64000</v>
      </c>
      <c r="V41" s="91">
        <f>U41</f>
        <v>64000</v>
      </c>
      <c r="W41" s="90">
        <v>0</v>
      </c>
      <c r="X41" s="90">
        <f>W41</f>
        <v>0</v>
      </c>
      <c r="Y41" s="90">
        <v>0</v>
      </c>
      <c r="Z41" s="88">
        <f>Y41</f>
        <v>0</v>
      </c>
    </row>
    <row r="42" spans="1:26" ht="60.75" customHeight="1">
      <c r="A42" s="798"/>
      <c r="B42" s="842"/>
      <c r="C42" s="842"/>
      <c r="D42" s="842"/>
      <c r="E42" s="842"/>
      <c r="F42" s="842"/>
      <c r="G42" s="842"/>
      <c r="H42" s="842"/>
      <c r="I42" s="1018"/>
      <c r="J42" s="1020"/>
      <c r="K42" s="1015"/>
      <c r="L42" s="1016"/>
      <c r="M42" s="151" t="s">
        <v>573</v>
      </c>
      <c r="N42" s="591" t="s">
        <v>245</v>
      </c>
      <c r="O42" s="38">
        <v>1</v>
      </c>
      <c r="P42" s="38">
        <v>60000</v>
      </c>
      <c r="Q42" s="23">
        <f>ROUND(P42*O42,0)</f>
        <v>60000</v>
      </c>
      <c r="R42" s="32">
        <v>60000</v>
      </c>
      <c r="S42" s="32">
        <v>60000</v>
      </c>
      <c r="T42" s="32">
        <v>60000</v>
      </c>
      <c r="U42" s="91">
        <v>64000</v>
      </c>
      <c r="V42" s="91">
        <f>U42</f>
        <v>64000</v>
      </c>
      <c r="W42" s="90">
        <v>0</v>
      </c>
      <c r="X42" s="90">
        <f>W42</f>
        <v>0</v>
      </c>
      <c r="Y42" s="90">
        <v>0</v>
      </c>
      <c r="Z42" s="88">
        <f>Y42</f>
        <v>0</v>
      </c>
    </row>
    <row r="43" spans="1:26" s="7" customFormat="1" ht="279.75" customHeight="1">
      <c r="A43" s="172" t="s">
        <v>435</v>
      </c>
      <c r="B43" s="746" t="s">
        <v>6</v>
      </c>
      <c r="C43" s="746" t="s">
        <v>7</v>
      </c>
      <c r="D43" s="746" t="s">
        <v>436</v>
      </c>
      <c r="E43" s="746" t="s">
        <v>8</v>
      </c>
      <c r="F43" s="746" t="s">
        <v>437</v>
      </c>
      <c r="G43" s="746" t="s">
        <v>478</v>
      </c>
      <c r="H43" s="746" t="s">
        <v>9</v>
      </c>
      <c r="I43" s="166" t="s">
        <v>438</v>
      </c>
      <c r="J43" s="182" t="e">
        <f>#REF!</f>
        <v>#REF!</v>
      </c>
      <c r="K43" s="183" t="e">
        <f>#REF!</f>
        <v>#REF!</v>
      </c>
      <c r="L43" s="176" t="s">
        <v>11</v>
      </c>
      <c r="M43" s="184"/>
      <c r="N43" s="185"/>
      <c r="O43" s="160">
        <f>SUM(O44:O51)</f>
        <v>434</v>
      </c>
      <c r="P43" s="160">
        <f>Q43/O43</f>
        <v>5778.804147465437</v>
      </c>
      <c r="Q43" s="744">
        <f aca="true" t="shared" si="17" ref="Q43:Z43">SUM(Q44:Q51)</f>
        <v>2508001</v>
      </c>
      <c r="R43" s="744">
        <f t="shared" si="17"/>
        <v>2508001</v>
      </c>
      <c r="S43" s="744">
        <f t="shared" si="17"/>
        <v>2508001</v>
      </c>
      <c r="T43" s="744">
        <f t="shared" si="17"/>
        <v>2508001</v>
      </c>
      <c r="U43" s="745">
        <f t="shared" si="17"/>
        <v>100000</v>
      </c>
      <c r="V43" s="745">
        <f t="shared" si="17"/>
        <v>100000</v>
      </c>
      <c r="W43" s="745">
        <f t="shared" si="17"/>
        <v>50000</v>
      </c>
      <c r="X43" s="745">
        <f t="shared" si="17"/>
        <v>50000</v>
      </c>
      <c r="Y43" s="745">
        <f t="shared" si="17"/>
        <v>50000</v>
      </c>
      <c r="Z43" s="745">
        <f t="shared" si="17"/>
        <v>50000</v>
      </c>
    </row>
    <row r="44" spans="1:26" ht="64.5" customHeight="1">
      <c r="A44" s="850" t="s">
        <v>685</v>
      </c>
      <c r="B44" s="993"/>
      <c r="C44" s="993"/>
      <c r="D44" s="993"/>
      <c r="E44" s="993"/>
      <c r="F44" s="993"/>
      <c r="G44" s="993"/>
      <c r="H44" s="993"/>
      <c r="I44" s="993" t="s">
        <v>684</v>
      </c>
      <c r="J44" s="1017"/>
      <c r="K44" s="1017"/>
      <c r="L44" s="848"/>
      <c r="M44" s="187" t="s">
        <v>651</v>
      </c>
      <c r="N44" s="591" t="s">
        <v>320</v>
      </c>
      <c r="O44" s="39">
        <v>14</v>
      </c>
      <c r="P44" s="39">
        <v>765</v>
      </c>
      <c r="Q44" s="38">
        <f aca="true" t="shared" si="18" ref="Q44:Q51">ROUND(O44*P44,0)</f>
        <v>10710</v>
      </c>
      <c r="R44" s="188">
        <v>10710</v>
      </c>
      <c r="S44" s="32">
        <v>10710</v>
      </c>
      <c r="T44" s="32">
        <v>10710</v>
      </c>
      <c r="U44" s="47">
        <v>1960</v>
      </c>
      <c r="V44" s="47">
        <f>U44</f>
        <v>1960</v>
      </c>
      <c r="W44" s="47">
        <f>U44/2</f>
        <v>980</v>
      </c>
      <c r="X44" s="47">
        <f>W44</f>
        <v>980</v>
      </c>
      <c r="Y44" s="47">
        <f>U44/2</f>
        <v>980</v>
      </c>
      <c r="Z44" s="88">
        <f>Y44</f>
        <v>980</v>
      </c>
    </row>
    <row r="45" spans="1:26" ht="62.25" customHeight="1">
      <c r="A45" s="850"/>
      <c r="B45" s="993"/>
      <c r="C45" s="993"/>
      <c r="D45" s="993"/>
      <c r="E45" s="993"/>
      <c r="F45" s="993"/>
      <c r="G45" s="993"/>
      <c r="H45" s="993"/>
      <c r="I45" s="993"/>
      <c r="J45" s="1017"/>
      <c r="K45" s="1017"/>
      <c r="L45" s="848"/>
      <c r="M45" s="187" t="s">
        <v>697</v>
      </c>
      <c r="N45" s="591" t="s">
        <v>411</v>
      </c>
      <c r="O45" s="39">
        <v>16</v>
      </c>
      <c r="P45" s="39">
        <v>5911.3</v>
      </c>
      <c r="Q45" s="38">
        <f t="shared" si="18"/>
        <v>94581</v>
      </c>
      <c r="R45" s="188">
        <v>94581</v>
      </c>
      <c r="S45" s="32">
        <v>94581</v>
      </c>
      <c r="T45" s="32">
        <v>94581</v>
      </c>
      <c r="U45" s="47">
        <v>11823</v>
      </c>
      <c r="V45" s="47">
        <f aca="true" t="shared" si="19" ref="V45:V51">U45</f>
        <v>11823</v>
      </c>
      <c r="W45" s="47">
        <f aca="true" t="shared" si="20" ref="W45:W51">U45/2</f>
        <v>5911.5</v>
      </c>
      <c r="X45" s="47">
        <f aca="true" t="shared" si="21" ref="X45:X51">W45</f>
        <v>5911.5</v>
      </c>
      <c r="Y45" s="47">
        <f aca="true" t="shared" si="22" ref="Y45:Y51">U45/2</f>
        <v>5911.5</v>
      </c>
      <c r="Z45" s="88">
        <f aca="true" t="shared" si="23" ref="Z45:Z51">Y45</f>
        <v>5911.5</v>
      </c>
    </row>
    <row r="46" spans="1:26" ht="105" customHeight="1">
      <c r="A46" s="850"/>
      <c r="B46" s="993"/>
      <c r="C46" s="993"/>
      <c r="D46" s="993"/>
      <c r="E46" s="993"/>
      <c r="F46" s="993"/>
      <c r="G46" s="993"/>
      <c r="H46" s="993"/>
      <c r="I46" s="993"/>
      <c r="J46" s="1017"/>
      <c r="K46" s="1017"/>
      <c r="L46" s="848"/>
      <c r="M46" s="187" t="s">
        <v>508</v>
      </c>
      <c r="N46" s="591" t="s">
        <v>411</v>
      </c>
      <c r="O46" s="39">
        <v>14</v>
      </c>
      <c r="P46" s="39">
        <v>5500</v>
      </c>
      <c r="Q46" s="38">
        <f t="shared" si="18"/>
        <v>77000</v>
      </c>
      <c r="R46" s="188">
        <v>77000</v>
      </c>
      <c r="S46" s="32">
        <v>77000</v>
      </c>
      <c r="T46" s="32">
        <v>77000</v>
      </c>
      <c r="U46" s="47">
        <v>11000</v>
      </c>
      <c r="V46" s="47">
        <f t="shared" si="19"/>
        <v>11000</v>
      </c>
      <c r="W46" s="47">
        <f t="shared" si="20"/>
        <v>5500</v>
      </c>
      <c r="X46" s="47">
        <f t="shared" si="21"/>
        <v>5500</v>
      </c>
      <c r="Y46" s="47">
        <f t="shared" si="22"/>
        <v>5500</v>
      </c>
      <c r="Z46" s="88">
        <f t="shared" si="23"/>
        <v>5500</v>
      </c>
    </row>
    <row r="47" spans="1:26" ht="87.75" customHeight="1">
      <c r="A47" s="850"/>
      <c r="B47" s="993"/>
      <c r="C47" s="993"/>
      <c r="D47" s="993"/>
      <c r="E47" s="993"/>
      <c r="F47" s="993"/>
      <c r="G47" s="993"/>
      <c r="H47" s="993"/>
      <c r="I47" s="993"/>
      <c r="J47" s="1017"/>
      <c r="K47" s="1017"/>
      <c r="L47" s="848"/>
      <c r="M47" s="187" t="s">
        <v>652</v>
      </c>
      <c r="N47" s="591" t="s">
        <v>411</v>
      </c>
      <c r="O47" s="39">
        <v>6</v>
      </c>
      <c r="P47" s="39">
        <v>4933.7</v>
      </c>
      <c r="Q47" s="38">
        <f t="shared" si="18"/>
        <v>29602</v>
      </c>
      <c r="R47" s="188">
        <v>29602</v>
      </c>
      <c r="S47" s="32">
        <v>29602</v>
      </c>
      <c r="T47" s="32">
        <v>29602</v>
      </c>
      <c r="U47" s="47">
        <v>19735</v>
      </c>
      <c r="V47" s="47">
        <f t="shared" si="19"/>
        <v>19735</v>
      </c>
      <c r="W47" s="47">
        <f t="shared" si="20"/>
        <v>9867.5</v>
      </c>
      <c r="X47" s="47">
        <f t="shared" si="21"/>
        <v>9867.5</v>
      </c>
      <c r="Y47" s="47">
        <f t="shared" si="22"/>
        <v>9867.5</v>
      </c>
      <c r="Z47" s="88">
        <f t="shared" si="23"/>
        <v>9867.5</v>
      </c>
    </row>
    <row r="48" spans="1:26" ht="126" customHeight="1">
      <c r="A48" s="850"/>
      <c r="B48" s="993"/>
      <c r="C48" s="993"/>
      <c r="D48" s="993"/>
      <c r="E48" s="993"/>
      <c r="F48" s="993"/>
      <c r="G48" s="993"/>
      <c r="H48" s="993"/>
      <c r="I48" s="993"/>
      <c r="J48" s="1017"/>
      <c r="K48" s="1017"/>
      <c r="L48" s="848"/>
      <c r="M48" s="187" t="s">
        <v>509</v>
      </c>
      <c r="N48" s="591" t="s">
        <v>411</v>
      </c>
      <c r="O48" s="39">
        <v>150</v>
      </c>
      <c r="P48" s="39">
        <v>5321.7</v>
      </c>
      <c r="Q48" s="38">
        <f t="shared" si="18"/>
        <v>798255</v>
      </c>
      <c r="R48" s="188">
        <v>798255</v>
      </c>
      <c r="S48" s="32">
        <v>798255</v>
      </c>
      <c r="T48" s="32">
        <v>798255</v>
      </c>
      <c r="U48" s="47">
        <v>21287</v>
      </c>
      <c r="V48" s="47">
        <f t="shared" si="19"/>
        <v>21287</v>
      </c>
      <c r="W48" s="47">
        <f t="shared" si="20"/>
        <v>10643.5</v>
      </c>
      <c r="X48" s="47">
        <f t="shared" si="21"/>
        <v>10643.5</v>
      </c>
      <c r="Y48" s="47">
        <f t="shared" si="22"/>
        <v>10643.5</v>
      </c>
      <c r="Z48" s="88">
        <f t="shared" si="23"/>
        <v>10643.5</v>
      </c>
    </row>
    <row r="49" spans="1:26" ht="106.5" customHeight="1">
      <c r="A49" s="850"/>
      <c r="B49" s="993"/>
      <c r="C49" s="993"/>
      <c r="D49" s="993"/>
      <c r="E49" s="993"/>
      <c r="F49" s="993"/>
      <c r="G49" s="993"/>
      <c r="H49" s="993"/>
      <c r="I49" s="993"/>
      <c r="J49" s="1017"/>
      <c r="K49" s="1017"/>
      <c r="L49" s="848"/>
      <c r="M49" s="187" t="s">
        <v>439</v>
      </c>
      <c r="N49" s="591" t="s">
        <v>411</v>
      </c>
      <c r="O49" s="39">
        <v>80</v>
      </c>
      <c r="P49" s="39">
        <v>7593</v>
      </c>
      <c r="Q49" s="38">
        <f t="shared" si="18"/>
        <v>607440</v>
      </c>
      <c r="R49" s="188">
        <v>607440</v>
      </c>
      <c r="S49" s="32">
        <v>607440</v>
      </c>
      <c r="T49" s="32">
        <v>607440</v>
      </c>
      <c r="U49" s="47">
        <v>0</v>
      </c>
      <c r="V49" s="47">
        <f t="shared" si="19"/>
        <v>0</v>
      </c>
      <c r="W49" s="47">
        <f t="shared" si="20"/>
        <v>0</v>
      </c>
      <c r="X49" s="47">
        <f t="shared" si="21"/>
        <v>0</v>
      </c>
      <c r="Y49" s="47">
        <f t="shared" si="22"/>
        <v>0</v>
      </c>
      <c r="Z49" s="88">
        <f t="shared" si="23"/>
        <v>0</v>
      </c>
    </row>
    <row r="50" spans="1:26" ht="146.25" customHeight="1">
      <c r="A50" s="850"/>
      <c r="B50" s="993"/>
      <c r="C50" s="993"/>
      <c r="D50" s="993"/>
      <c r="E50" s="993"/>
      <c r="F50" s="993"/>
      <c r="G50" s="993"/>
      <c r="H50" s="993"/>
      <c r="I50" s="993"/>
      <c r="J50" s="1017"/>
      <c r="K50" s="1017"/>
      <c r="L50" s="848"/>
      <c r="M50" s="187" t="s">
        <v>653</v>
      </c>
      <c r="N50" s="591" t="s">
        <v>411</v>
      </c>
      <c r="O50" s="39">
        <v>4</v>
      </c>
      <c r="P50" s="39">
        <v>11467</v>
      </c>
      <c r="Q50" s="38">
        <f t="shared" si="18"/>
        <v>45868</v>
      </c>
      <c r="R50" s="188">
        <v>45868</v>
      </c>
      <c r="S50" s="32">
        <v>45868</v>
      </c>
      <c r="T50" s="32">
        <v>45868</v>
      </c>
      <c r="U50" s="47">
        <v>22934</v>
      </c>
      <c r="V50" s="47">
        <f t="shared" si="19"/>
        <v>22934</v>
      </c>
      <c r="W50" s="47">
        <f t="shared" si="20"/>
        <v>11467</v>
      </c>
      <c r="X50" s="47">
        <f t="shared" si="21"/>
        <v>11467</v>
      </c>
      <c r="Y50" s="47">
        <f t="shared" si="22"/>
        <v>11467</v>
      </c>
      <c r="Z50" s="88">
        <f t="shared" si="23"/>
        <v>11467</v>
      </c>
    </row>
    <row r="51" spans="1:26" ht="107.25" customHeight="1">
      <c r="A51" s="850"/>
      <c r="B51" s="993"/>
      <c r="C51" s="993"/>
      <c r="D51" s="993"/>
      <c r="E51" s="993"/>
      <c r="F51" s="993"/>
      <c r="G51" s="993"/>
      <c r="H51" s="993"/>
      <c r="I51" s="993"/>
      <c r="J51" s="1017"/>
      <c r="K51" s="1017"/>
      <c r="L51" s="848"/>
      <c r="M51" s="187" t="s">
        <v>440</v>
      </c>
      <c r="N51" s="591" t="s">
        <v>411</v>
      </c>
      <c r="O51" s="39">
        <v>150</v>
      </c>
      <c r="P51" s="39">
        <v>5630.3</v>
      </c>
      <c r="Q51" s="38">
        <f t="shared" si="18"/>
        <v>844545</v>
      </c>
      <c r="R51" s="188">
        <v>844545</v>
      </c>
      <c r="S51" s="32">
        <v>844545</v>
      </c>
      <c r="T51" s="32">
        <v>844545</v>
      </c>
      <c r="U51" s="47">
        <v>11261</v>
      </c>
      <c r="V51" s="47">
        <f t="shared" si="19"/>
        <v>11261</v>
      </c>
      <c r="W51" s="47">
        <f t="shared" si="20"/>
        <v>5630.5</v>
      </c>
      <c r="X51" s="47">
        <f t="shared" si="21"/>
        <v>5630.5</v>
      </c>
      <c r="Y51" s="47">
        <f t="shared" si="22"/>
        <v>5630.5</v>
      </c>
      <c r="Z51" s="88">
        <f t="shared" si="23"/>
        <v>5630.5</v>
      </c>
    </row>
    <row r="52" spans="1:87" ht="266.25" customHeight="1">
      <c r="A52" s="172" t="s">
        <v>441</v>
      </c>
      <c r="B52" s="746" t="s">
        <v>6</v>
      </c>
      <c r="C52" s="746" t="s">
        <v>7</v>
      </c>
      <c r="D52" s="746" t="s">
        <v>436</v>
      </c>
      <c r="E52" s="746" t="s">
        <v>8</v>
      </c>
      <c r="F52" s="746" t="s">
        <v>442</v>
      </c>
      <c r="G52" s="746" t="s">
        <v>479</v>
      </c>
      <c r="H52" s="746" t="s">
        <v>9</v>
      </c>
      <c r="I52" s="189" t="s">
        <v>443</v>
      </c>
      <c r="J52" s="747">
        <f>J53+J59</f>
        <v>145582.81</v>
      </c>
      <c r="K52" s="745">
        <v>109200</v>
      </c>
      <c r="L52" s="190"/>
      <c r="M52" s="149"/>
      <c r="N52" s="592"/>
      <c r="O52" s="744"/>
      <c r="P52" s="744"/>
      <c r="Q52" s="744">
        <f aca="true" t="shared" si="24" ref="Q52:Z52">Q53+Q59</f>
        <v>628490</v>
      </c>
      <c r="R52" s="744">
        <f t="shared" si="24"/>
        <v>628490</v>
      </c>
      <c r="S52" s="744">
        <f t="shared" si="24"/>
        <v>628490</v>
      </c>
      <c r="T52" s="744">
        <f t="shared" si="24"/>
        <v>628490</v>
      </c>
      <c r="U52" s="745">
        <f t="shared" si="24"/>
        <v>350000</v>
      </c>
      <c r="V52" s="745">
        <f t="shared" si="24"/>
        <v>350000</v>
      </c>
      <c r="W52" s="745">
        <f t="shared" si="24"/>
        <v>72800</v>
      </c>
      <c r="X52" s="745">
        <f t="shared" si="24"/>
        <v>72800</v>
      </c>
      <c r="Y52" s="745">
        <f t="shared" si="24"/>
        <v>72800</v>
      </c>
      <c r="Z52" s="745">
        <f t="shared" si="24"/>
        <v>72800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</row>
    <row r="53" spans="1:87" s="2" customFormat="1" ht="24" customHeight="1">
      <c r="A53" s="989" t="s">
        <v>444</v>
      </c>
      <c r="B53" s="1011"/>
      <c r="C53" s="991"/>
      <c r="D53" s="991"/>
      <c r="E53" s="991"/>
      <c r="F53" s="991"/>
      <c r="G53" s="991"/>
      <c r="H53" s="991"/>
      <c r="I53" s="992"/>
      <c r="J53" s="950">
        <v>33600</v>
      </c>
      <c r="K53" s="1014">
        <v>87845.5</v>
      </c>
      <c r="L53" s="997" t="s">
        <v>17</v>
      </c>
      <c r="M53" s="191" t="s">
        <v>227</v>
      </c>
      <c r="N53" s="593" t="s">
        <v>245</v>
      </c>
      <c r="O53" s="40">
        <f>SUM(O54:O58)</f>
        <v>12</v>
      </c>
      <c r="P53" s="41"/>
      <c r="Q53" s="41">
        <f aca="true" t="shared" si="25" ref="Q53:Z53">SUM(Q54:Q58)</f>
        <v>180524</v>
      </c>
      <c r="R53" s="41">
        <f t="shared" si="25"/>
        <v>180524</v>
      </c>
      <c r="S53" s="41">
        <f t="shared" si="25"/>
        <v>180524</v>
      </c>
      <c r="T53" s="41">
        <f t="shared" si="25"/>
        <v>180524</v>
      </c>
      <c r="U53" s="77">
        <f t="shared" si="25"/>
        <v>71002</v>
      </c>
      <c r="V53" s="77">
        <f t="shared" si="25"/>
        <v>71002</v>
      </c>
      <c r="W53" s="77">
        <f t="shared" si="25"/>
        <v>25992</v>
      </c>
      <c r="X53" s="77">
        <f t="shared" si="25"/>
        <v>25992</v>
      </c>
      <c r="Y53" s="77">
        <f t="shared" si="25"/>
        <v>25992</v>
      </c>
      <c r="Z53" s="77">
        <f t="shared" si="25"/>
        <v>25992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</row>
    <row r="54" spans="1:26" s="4" customFormat="1" ht="28.5" customHeight="1">
      <c r="A54" s="989"/>
      <c r="B54" s="991"/>
      <c r="C54" s="991"/>
      <c r="D54" s="991"/>
      <c r="E54" s="991"/>
      <c r="F54" s="991"/>
      <c r="G54" s="991"/>
      <c r="H54" s="991"/>
      <c r="I54" s="992"/>
      <c r="J54" s="950"/>
      <c r="K54" s="1014"/>
      <c r="L54" s="997"/>
      <c r="M54" s="153" t="s">
        <v>445</v>
      </c>
      <c r="N54" s="591"/>
      <c r="O54" s="30">
        <v>3</v>
      </c>
      <c r="P54" s="38">
        <v>37961</v>
      </c>
      <c r="Q54" s="38">
        <f>ROUND(O54*P54,0)</f>
        <v>113883</v>
      </c>
      <c r="R54" s="38">
        <v>113883</v>
      </c>
      <c r="S54" s="32">
        <v>113883</v>
      </c>
      <c r="T54" s="32">
        <v>113883</v>
      </c>
      <c r="U54" s="47">
        <v>37961</v>
      </c>
      <c r="V54" s="47">
        <f>U54</f>
        <v>37961</v>
      </c>
      <c r="W54" s="47">
        <v>0</v>
      </c>
      <c r="X54" s="47">
        <f>W54</f>
        <v>0</v>
      </c>
      <c r="Y54" s="47">
        <v>0</v>
      </c>
      <c r="Z54" s="88">
        <f>Y54</f>
        <v>0</v>
      </c>
    </row>
    <row r="55" spans="1:26" s="4" customFormat="1" ht="28.5" customHeight="1">
      <c r="A55" s="989"/>
      <c r="B55" s="991"/>
      <c r="C55" s="991"/>
      <c r="D55" s="991"/>
      <c r="E55" s="991"/>
      <c r="F55" s="991"/>
      <c r="G55" s="991"/>
      <c r="H55" s="991"/>
      <c r="I55" s="992"/>
      <c r="J55" s="950"/>
      <c r="K55" s="1014"/>
      <c r="L55" s="997"/>
      <c r="M55" s="153" t="s">
        <v>446</v>
      </c>
      <c r="N55" s="591"/>
      <c r="O55" s="30">
        <v>3</v>
      </c>
      <c r="P55" s="38">
        <v>8664</v>
      </c>
      <c r="Q55" s="38">
        <f>ROUND(O55*P55,0)</f>
        <v>25992</v>
      </c>
      <c r="R55" s="38">
        <v>25992</v>
      </c>
      <c r="S55" s="32">
        <v>25992</v>
      </c>
      <c r="T55" s="32">
        <v>25992</v>
      </c>
      <c r="U55" s="47">
        <v>25992</v>
      </c>
      <c r="V55" s="47">
        <f>U55</f>
        <v>25992</v>
      </c>
      <c r="W55" s="47">
        <v>25992</v>
      </c>
      <c r="X55" s="47">
        <f>W55</f>
        <v>25992</v>
      </c>
      <c r="Y55" s="47">
        <v>25992</v>
      </c>
      <c r="Z55" s="88">
        <f>Y55</f>
        <v>25992</v>
      </c>
    </row>
    <row r="56" spans="1:26" s="4" customFormat="1" ht="28.5" customHeight="1">
      <c r="A56" s="989"/>
      <c r="B56" s="991"/>
      <c r="C56" s="991"/>
      <c r="D56" s="991"/>
      <c r="E56" s="991"/>
      <c r="F56" s="991"/>
      <c r="G56" s="991"/>
      <c r="H56" s="991"/>
      <c r="I56" s="992"/>
      <c r="J56" s="950"/>
      <c r="K56" s="1014"/>
      <c r="L56" s="997"/>
      <c r="M56" s="153" t="s">
        <v>447</v>
      </c>
      <c r="N56" s="591"/>
      <c r="O56" s="30">
        <v>2</v>
      </c>
      <c r="P56" s="38">
        <v>1290</v>
      </c>
      <c r="Q56" s="38">
        <f>ROUND(O56*P56,0)</f>
        <v>2580</v>
      </c>
      <c r="R56" s="38">
        <v>2580</v>
      </c>
      <c r="S56" s="32">
        <v>2580</v>
      </c>
      <c r="T56" s="32">
        <v>2580</v>
      </c>
      <c r="U56" s="47">
        <v>2580</v>
      </c>
      <c r="V56" s="47">
        <f>U56</f>
        <v>2580</v>
      </c>
      <c r="W56" s="47">
        <v>0</v>
      </c>
      <c r="X56" s="47">
        <f>W56</f>
        <v>0</v>
      </c>
      <c r="Y56" s="47">
        <v>0</v>
      </c>
      <c r="Z56" s="88">
        <f>Y56</f>
        <v>0</v>
      </c>
    </row>
    <row r="57" spans="1:26" s="4" customFormat="1" ht="35.25" customHeight="1" hidden="1">
      <c r="A57" s="989"/>
      <c r="B57" s="991"/>
      <c r="C57" s="991"/>
      <c r="D57" s="991"/>
      <c r="E57" s="991"/>
      <c r="F57" s="991"/>
      <c r="G57" s="991"/>
      <c r="H57" s="991"/>
      <c r="I57" s="992"/>
      <c r="J57" s="950"/>
      <c r="K57" s="1014"/>
      <c r="L57" s="997"/>
      <c r="M57" s="192" t="s">
        <v>448</v>
      </c>
      <c r="N57" s="591"/>
      <c r="O57" s="30">
        <v>3</v>
      </c>
      <c r="P57" s="38">
        <v>11200</v>
      </c>
      <c r="Q57" s="38">
        <f>ROUND(O57*P57,0)</f>
        <v>33600</v>
      </c>
      <c r="R57" s="38">
        <v>33600</v>
      </c>
      <c r="S57" s="32">
        <v>33600</v>
      </c>
      <c r="T57" s="32">
        <v>33600</v>
      </c>
      <c r="U57" s="47"/>
      <c r="V57" s="47">
        <f>U57</f>
        <v>0</v>
      </c>
      <c r="W57" s="47"/>
      <c r="X57" s="47">
        <f>W57</f>
        <v>0</v>
      </c>
      <c r="Y57" s="47"/>
      <c r="Z57" s="88">
        <f>Y57</f>
        <v>0</v>
      </c>
    </row>
    <row r="58" spans="1:26" s="4" customFormat="1" ht="91.5" customHeight="1">
      <c r="A58" s="989"/>
      <c r="B58" s="991"/>
      <c r="C58" s="991"/>
      <c r="D58" s="991"/>
      <c r="E58" s="991"/>
      <c r="F58" s="991"/>
      <c r="G58" s="991"/>
      <c r="H58" s="991"/>
      <c r="I58" s="992"/>
      <c r="J58" s="950"/>
      <c r="K58" s="1014"/>
      <c r="L58" s="997"/>
      <c r="M58" s="153" t="s">
        <v>449</v>
      </c>
      <c r="N58" s="591"/>
      <c r="O58" s="30">
        <v>1</v>
      </c>
      <c r="P58" s="38">
        <v>4469</v>
      </c>
      <c r="Q58" s="38">
        <f>ROUND(O58*P58,0)</f>
        <v>4469</v>
      </c>
      <c r="R58" s="38">
        <v>4469</v>
      </c>
      <c r="S58" s="32">
        <v>4469</v>
      </c>
      <c r="T58" s="32">
        <v>4469</v>
      </c>
      <c r="U58" s="32">
        <v>4469</v>
      </c>
      <c r="V58" s="47">
        <f>U58</f>
        <v>4469</v>
      </c>
      <c r="W58" s="47">
        <v>0</v>
      </c>
      <c r="X58" s="47">
        <f>W58</f>
        <v>0</v>
      </c>
      <c r="Y58" s="47">
        <v>0</v>
      </c>
      <c r="Z58" s="88">
        <f>Y58</f>
        <v>0</v>
      </c>
    </row>
    <row r="59" spans="1:26" ht="33" customHeight="1">
      <c r="A59" s="989" t="s">
        <v>450</v>
      </c>
      <c r="B59" s="1011"/>
      <c r="C59" s="991"/>
      <c r="D59" s="991"/>
      <c r="E59" s="991"/>
      <c r="F59" s="991"/>
      <c r="G59" s="991"/>
      <c r="H59" s="991"/>
      <c r="I59" s="992"/>
      <c r="J59" s="950">
        <f>112000-17.19</f>
        <v>111982.81</v>
      </c>
      <c r="K59" s="1014">
        <v>21354.5</v>
      </c>
      <c r="L59" s="997" t="s">
        <v>17</v>
      </c>
      <c r="M59" s="193" t="s">
        <v>227</v>
      </c>
      <c r="N59" s="594" t="s">
        <v>320</v>
      </c>
      <c r="O59" s="42">
        <f>SUM(O60:O71)</f>
        <v>30</v>
      </c>
      <c r="P59" s="43">
        <f>Q59/O59</f>
        <v>14932.2</v>
      </c>
      <c r="Q59" s="44">
        <f aca="true" t="shared" si="26" ref="Q59:Z59">SUM(Q60:Q71)</f>
        <v>447966</v>
      </c>
      <c r="R59" s="44">
        <f t="shared" si="26"/>
        <v>447966</v>
      </c>
      <c r="S59" s="44">
        <f t="shared" si="26"/>
        <v>447966</v>
      </c>
      <c r="T59" s="44">
        <f t="shared" si="26"/>
        <v>447966</v>
      </c>
      <c r="U59" s="44">
        <f t="shared" si="26"/>
        <v>278998</v>
      </c>
      <c r="V59" s="44">
        <f t="shared" si="26"/>
        <v>278998</v>
      </c>
      <c r="W59" s="44">
        <f t="shared" si="26"/>
        <v>46808</v>
      </c>
      <c r="X59" s="44">
        <f t="shared" si="26"/>
        <v>46808</v>
      </c>
      <c r="Y59" s="44">
        <f t="shared" si="26"/>
        <v>46808</v>
      </c>
      <c r="Z59" s="44">
        <f t="shared" si="26"/>
        <v>46808</v>
      </c>
    </row>
    <row r="60" spans="1:26" ht="105.75" customHeight="1">
      <c r="A60" s="812"/>
      <c r="B60" s="991"/>
      <c r="C60" s="991"/>
      <c r="D60" s="991"/>
      <c r="E60" s="991"/>
      <c r="F60" s="991"/>
      <c r="G60" s="991"/>
      <c r="H60" s="991"/>
      <c r="I60" s="1013"/>
      <c r="J60" s="995"/>
      <c r="K60" s="991"/>
      <c r="L60" s="991"/>
      <c r="M60" s="193" t="s">
        <v>742</v>
      </c>
      <c r="N60" s="595" t="s">
        <v>320</v>
      </c>
      <c r="O60" s="45">
        <v>2</v>
      </c>
      <c r="P60" s="46">
        <v>4700</v>
      </c>
      <c r="Q60" s="47">
        <f aca="true" t="shared" si="27" ref="Q60:Q71">ROUND(O60*P60,0)</f>
        <v>9400</v>
      </c>
      <c r="R60" s="47">
        <v>9400</v>
      </c>
      <c r="S60" s="48">
        <v>9400</v>
      </c>
      <c r="T60" s="48">
        <v>9400</v>
      </c>
      <c r="U60" s="47">
        <v>4700</v>
      </c>
      <c r="V60" s="47">
        <f>U60</f>
        <v>4700</v>
      </c>
      <c r="W60" s="47">
        <v>0</v>
      </c>
      <c r="X60" s="47">
        <f>W60</f>
        <v>0</v>
      </c>
      <c r="Y60" s="47">
        <v>0</v>
      </c>
      <c r="Z60" s="88">
        <f>Y60</f>
        <v>0</v>
      </c>
    </row>
    <row r="61" spans="1:26" ht="64.5" customHeight="1">
      <c r="A61" s="812"/>
      <c r="B61" s="991"/>
      <c r="C61" s="991"/>
      <c r="D61" s="991"/>
      <c r="E61" s="991"/>
      <c r="F61" s="991"/>
      <c r="G61" s="991"/>
      <c r="H61" s="991"/>
      <c r="I61" s="1013"/>
      <c r="J61" s="995"/>
      <c r="K61" s="991"/>
      <c r="L61" s="991"/>
      <c r="M61" s="193" t="s">
        <v>743</v>
      </c>
      <c r="N61" s="595" t="s">
        <v>320</v>
      </c>
      <c r="O61" s="45">
        <v>2</v>
      </c>
      <c r="P61" s="46">
        <v>6666</v>
      </c>
      <c r="Q61" s="47">
        <f t="shared" si="27"/>
        <v>13332</v>
      </c>
      <c r="R61" s="47">
        <v>13332</v>
      </c>
      <c r="S61" s="48">
        <v>13332</v>
      </c>
      <c r="T61" s="48">
        <v>13332</v>
      </c>
      <c r="U61" s="47">
        <v>6666</v>
      </c>
      <c r="V61" s="47">
        <f aca="true" t="shared" si="28" ref="V61:V71">U61</f>
        <v>6666</v>
      </c>
      <c r="W61" s="47">
        <v>0</v>
      </c>
      <c r="X61" s="47">
        <f aca="true" t="shared" si="29" ref="X61:X66">W61</f>
        <v>0</v>
      </c>
      <c r="Y61" s="47">
        <v>0</v>
      </c>
      <c r="Z61" s="88">
        <f aca="true" t="shared" si="30" ref="Z61:Z66">Y61</f>
        <v>0</v>
      </c>
    </row>
    <row r="62" spans="1:26" ht="60.75" customHeight="1">
      <c r="A62" s="812"/>
      <c r="B62" s="991"/>
      <c r="C62" s="991"/>
      <c r="D62" s="991"/>
      <c r="E62" s="991"/>
      <c r="F62" s="991"/>
      <c r="G62" s="991"/>
      <c r="H62" s="991"/>
      <c r="I62" s="1013"/>
      <c r="J62" s="995"/>
      <c r="K62" s="991"/>
      <c r="L62" s="991"/>
      <c r="M62" s="193" t="s">
        <v>744</v>
      </c>
      <c r="N62" s="595" t="s">
        <v>320</v>
      </c>
      <c r="O62" s="45">
        <v>2</v>
      </c>
      <c r="P62" s="46">
        <v>8700</v>
      </c>
      <c r="Q62" s="47">
        <f t="shared" si="27"/>
        <v>17400</v>
      </c>
      <c r="R62" s="47">
        <v>17400</v>
      </c>
      <c r="S62" s="48">
        <v>17400</v>
      </c>
      <c r="T62" s="48">
        <v>17400</v>
      </c>
      <c r="U62" s="47">
        <v>8700</v>
      </c>
      <c r="V62" s="47">
        <f t="shared" si="28"/>
        <v>8700</v>
      </c>
      <c r="W62" s="47">
        <v>0</v>
      </c>
      <c r="X62" s="47">
        <f t="shared" si="29"/>
        <v>0</v>
      </c>
      <c r="Y62" s="47">
        <v>0</v>
      </c>
      <c r="Z62" s="88">
        <f t="shared" si="30"/>
        <v>0</v>
      </c>
    </row>
    <row r="63" spans="1:26" ht="42" customHeight="1">
      <c r="A63" s="812"/>
      <c r="B63" s="991"/>
      <c r="C63" s="991"/>
      <c r="D63" s="991"/>
      <c r="E63" s="991"/>
      <c r="F63" s="991"/>
      <c r="G63" s="991"/>
      <c r="H63" s="991"/>
      <c r="I63" s="1013"/>
      <c r="J63" s="995"/>
      <c r="K63" s="991"/>
      <c r="L63" s="991"/>
      <c r="M63" s="193" t="s">
        <v>451</v>
      </c>
      <c r="N63" s="595" t="s">
        <v>320</v>
      </c>
      <c r="O63" s="45">
        <v>10</v>
      </c>
      <c r="P63" s="46">
        <v>1850</v>
      </c>
      <c r="Q63" s="47">
        <f t="shared" si="27"/>
        <v>18500</v>
      </c>
      <c r="R63" s="47">
        <v>18500</v>
      </c>
      <c r="S63" s="48">
        <v>18500</v>
      </c>
      <c r="T63" s="48">
        <v>18500</v>
      </c>
      <c r="U63" s="47">
        <v>17832</v>
      </c>
      <c r="V63" s="47">
        <f t="shared" si="28"/>
        <v>17832</v>
      </c>
      <c r="W63" s="47">
        <v>0</v>
      </c>
      <c r="X63" s="47">
        <f t="shared" si="29"/>
        <v>0</v>
      </c>
      <c r="Y63" s="47">
        <v>0</v>
      </c>
      <c r="Z63" s="88">
        <f t="shared" si="30"/>
        <v>0</v>
      </c>
    </row>
    <row r="64" spans="1:26" ht="66.75" customHeight="1">
      <c r="A64" s="812"/>
      <c r="B64" s="991"/>
      <c r="C64" s="991"/>
      <c r="D64" s="991"/>
      <c r="E64" s="991"/>
      <c r="F64" s="991"/>
      <c r="G64" s="991"/>
      <c r="H64" s="991"/>
      <c r="I64" s="1013"/>
      <c r="J64" s="995"/>
      <c r="K64" s="991"/>
      <c r="L64" s="991"/>
      <c r="M64" s="193" t="s">
        <v>745</v>
      </c>
      <c r="N64" s="595" t="s">
        <v>320</v>
      </c>
      <c r="O64" s="45">
        <v>1</v>
      </c>
      <c r="P64" s="46">
        <v>23550</v>
      </c>
      <c r="Q64" s="47">
        <f t="shared" si="27"/>
        <v>23550</v>
      </c>
      <c r="R64" s="47">
        <v>23550</v>
      </c>
      <c r="S64" s="48">
        <v>23550</v>
      </c>
      <c r="T64" s="48">
        <v>23550</v>
      </c>
      <c r="U64" s="47">
        <v>48000</v>
      </c>
      <c r="V64" s="47">
        <f t="shared" si="28"/>
        <v>48000</v>
      </c>
      <c r="W64" s="47">
        <v>46808</v>
      </c>
      <c r="X64" s="47">
        <f>W64</f>
        <v>46808</v>
      </c>
      <c r="Y64" s="47">
        <v>46808</v>
      </c>
      <c r="Z64" s="88">
        <f>Y64</f>
        <v>46808</v>
      </c>
    </row>
    <row r="65" spans="1:26" ht="41.25" customHeight="1">
      <c r="A65" s="812"/>
      <c r="B65" s="991"/>
      <c r="C65" s="991"/>
      <c r="D65" s="991"/>
      <c r="E65" s="991"/>
      <c r="F65" s="991"/>
      <c r="G65" s="991"/>
      <c r="H65" s="991"/>
      <c r="I65" s="1013"/>
      <c r="J65" s="995"/>
      <c r="K65" s="991"/>
      <c r="L65" s="991"/>
      <c r="M65" s="193" t="s">
        <v>746</v>
      </c>
      <c r="N65" s="595" t="s">
        <v>320</v>
      </c>
      <c r="O65" s="45">
        <v>2</v>
      </c>
      <c r="P65" s="46">
        <v>23550</v>
      </c>
      <c r="Q65" s="47">
        <f t="shared" si="27"/>
        <v>47100</v>
      </c>
      <c r="R65" s="47">
        <v>47100</v>
      </c>
      <c r="S65" s="48">
        <v>47100</v>
      </c>
      <c r="T65" s="48">
        <v>47100</v>
      </c>
      <c r="U65" s="47">
        <v>90000</v>
      </c>
      <c r="V65" s="47">
        <f t="shared" si="28"/>
        <v>90000</v>
      </c>
      <c r="W65" s="47">
        <v>0</v>
      </c>
      <c r="X65" s="47">
        <f>W65</f>
        <v>0</v>
      </c>
      <c r="Y65" s="47">
        <v>0</v>
      </c>
      <c r="Z65" s="88">
        <f>Y65</f>
        <v>0</v>
      </c>
    </row>
    <row r="66" spans="1:26" ht="22.5" customHeight="1">
      <c r="A66" s="812"/>
      <c r="B66" s="991"/>
      <c r="C66" s="991"/>
      <c r="D66" s="991"/>
      <c r="E66" s="991"/>
      <c r="F66" s="991"/>
      <c r="G66" s="991"/>
      <c r="H66" s="991"/>
      <c r="I66" s="1013"/>
      <c r="J66" s="995"/>
      <c r="K66" s="991"/>
      <c r="L66" s="991"/>
      <c r="M66" s="193" t="s">
        <v>747</v>
      </c>
      <c r="N66" s="595" t="s">
        <v>245</v>
      </c>
      <c r="O66" s="45">
        <v>1</v>
      </c>
      <c r="P66" s="46">
        <v>179304</v>
      </c>
      <c r="Q66" s="47">
        <f t="shared" si="27"/>
        <v>179304</v>
      </c>
      <c r="R66" s="47">
        <v>179304</v>
      </c>
      <c r="S66" s="48">
        <v>179304</v>
      </c>
      <c r="T66" s="48">
        <v>179304</v>
      </c>
      <c r="U66" s="48">
        <v>72000</v>
      </c>
      <c r="V66" s="47">
        <f t="shared" si="28"/>
        <v>72000</v>
      </c>
      <c r="W66" s="47">
        <v>0</v>
      </c>
      <c r="X66" s="47">
        <f t="shared" si="29"/>
        <v>0</v>
      </c>
      <c r="Y66" s="47">
        <v>0</v>
      </c>
      <c r="Z66" s="88">
        <f t="shared" si="30"/>
        <v>0</v>
      </c>
    </row>
    <row r="67" spans="1:26" ht="24" customHeight="1">
      <c r="A67" s="812"/>
      <c r="B67" s="991"/>
      <c r="C67" s="991"/>
      <c r="D67" s="991"/>
      <c r="E67" s="991"/>
      <c r="F67" s="991"/>
      <c r="G67" s="991"/>
      <c r="H67" s="991"/>
      <c r="I67" s="1013"/>
      <c r="J67" s="995"/>
      <c r="K67" s="991"/>
      <c r="L67" s="991"/>
      <c r="M67" s="193" t="s">
        <v>748</v>
      </c>
      <c r="N67" s="595" t="s">
        <v>245</v>
      </c>
      <c r="O67" s="45"/>
      <c r="P67" s="46"/>
      <c r="Q67" s="47"/>
      <c r="R67" s="47"/>
      <c r="S67" s="48"/>
      <c r="T67" s="48"/>
      <c r="U67" s="48">
        <v>6500</v>
      </c>
      <c r="V67" s="47">
        <f t="shared" si="28"/>
        <v>6500</v>
      </c>
      <c r="W67" s="47">
        <v>0</v>
      </c>
      <c r="X67" s="47">
        <f>W67</f>
        <v>0</v>
      </c>
      <c r="Y67" s="47">
        <v>0</v>
      </c>
      <c r="Z67" s="88">
        <f>Y67</f>
        <v>0</v>
      </c>
    </row>
    <row r="68" spans="1:26" ht="21.75" customHeight="1">
      <c r="A68" s="812"/>
      <c r="B68" s="991"/>
      <c r="C68" s="991"/>
      <c r="D68" s="991"/>
      <c r="E68" s="991"/>
      <c r="F68" s="991"/>
      <c r="G68" s="991"/>
      <c r="H68" s="991"/>
      <c r="I68" s="1013"/>
      <c r="J68" s="995"/>
      <c r="K68" s="991"/>
      <c r="L68" s="991"/>
      <c r="M68" s="193" t="s">
        <v>749</v>
      </c>
      <c r="N68" s="595" t="s">
        <v>245</v>
      </c>
      <c r="O68" s="45"/>
      <c r="P68" s="46"/>
      <c r="Q68" s="47"/>
      <c r="R68" s="47"/>
      <c r="S68" s="48"/>
      <c r="T68" s="48"/>
      <c r="U68" s="48">
        <v>1000</v>
      </c>
      <c r="V68" s="47">
        <f t="shared" si="28"/>
        <v>1000</v>
      </c>
      <c r="W68" s="47">
        <v>0</v>
      </c>
      <c r="X68" s="47">
        <f>W68</f>
        <v>0</v>
      </c>
      <c r="Y68" s="47">
        <v>0</v>
      </c>
      <c r="Z68" s="88">
        <f>Y68</f>
        <v>0</v>
      </c>
    </row>
    <row r="69" spans="1:26" ht="24" customHeight="1">
      <c r="A69" s="812"/>
      <c r="B69" s="991"/>
      <c r="C69" s="991"/>
      <c r="D69" s="991"/>
      <c r="E69" s="991"/>
      <c r="F69" s="991"/>
      <c r="G69" s="991"/>
      <c r="H69" s="991"/>
      <c r="I69" s="1013"/>
      <c r="J69" s="995"/>
      <c r="K69" s="991"/>
      <c r="L69" s="991"/>
      <c r="M69" s="193" t="s">
        <v>750</v>
      </c>
      <c r="N69" s="595"/>
      <c r="O69" s="45"/>
      <c r="P69" s="46"/>
      <c r="Q69" s="47"/>
      <c r="R69" s="47"/>
      <c r="S69" s="48"/>
      <c r="T69" s="48"/>
      <c r="U69" s="48">
        <v>7000</v>
      </c>
      <c r="V69" s="47">
        <f t="shared" si="28"/>
        <v>7000</v>
      </c>
      <c r="W69" s="47">
        <v>0</v>
      </c>
      <c r="X69" s="47">
        <f>W69</f>
        <v>0</v>
      </c>
      <c r="Y69" s="47">
        <v>0</v>
      </c>
      <c r="Z69" s="88">
        <f>Y69</f>
        <v>0</v>
      </c>
    </row>
    <row r="70" spans="1:26" ht="43.5" customHeight="1">
      <c r="A70" s="812"/>
      <c r="B70" s="991"/>
      <c r="C70" s="991"/>
      <c r="D70" s="991"/>
      <c r="E70" s="991"/>
      <c r="F70" s="991"/>
      <c r="G70" s="991"/>
      <c r="H70" s="991"/>
      <c r="I70" s="1013"/>
      <c r="J70" s="995"/>
      <c r="K70" s="991"/>
      <c r="L70" s="991"/>
      <c r="M70" s="193" t="s">
        <v>751</v>
      </c>
      <c r="N70" s="595"/>
      <c r="O70" s="45"/>
      <c r="P70" s="46"/>
      <c r="Q70" s="47"/>
      <c r="R70" s="47"/>
      <c r="S70" s="48"/>
      <c r="T70" s="48"/>
      <c r="U70" s="48">
        <v>8600</v>
      </c>
      <c r="V70" s="47">
        <f t="shared" si="28"/>
        <v>8600</v>
      </c>
      <c r="W70" s="47">
        <v>0</v>
      </c>
      <c r="X70" s="47">
        <f>W70</f>
        <v>0</v>
      </c>
      <c r="Y70" s="47">
        <v>0</v>
      </c>
      <c r="Z70" s="88">
        <f>Y70</f>
        <v>0</v>
      </c>
    </row>
    <row r="71" spans="1:26" ht="85.5" customHeight="1">
      <c r="A71" s="812"/>
      <c r="B71" s="991"/>
      <c r="C71" s="991"/>
      <c r="D71" s="991"/>
      <c r="E71" s="991"/>
      <c r="F71" s="991"/>
      <c r="G71" s="991"/>
      <c r="H71" s="991"/>
      <c r="I71" s="1013"/>
      <c r="J71" s="995"/>
      <c r="K71" s="991"/>
      <c r="L71" s="991"/>
      <c r="M71" s="193" t="s">
        <v>752</v>
      </c>
      <c r="N71" s="595"/>
      <c r="O71" s="45">
        <v>10</v>
      </c>
      <c r="P71" s="46">
        <v>13938</v>
      </c>
      <c r="Q71" s="47">
        <f t="shared" si="27"/>
        <v>139380</v>
      </c>
      <c r="R71" s="47">
        <v>139380</v>
      </c>
      <c r="S71" s="48">
        <v>139380</v>
      </c>
      <c r="T71" s="48">
        <v>139380</v>
      </c>
      <c r="U71" s="47">
        <v>8000</v>
      </c>
      <c r="V71" s="47">
        <f t="shared" si="28"/>
        <v>8000</v>
      </c>
      <c r="W71" s="47">
        <v>0</v>
      </c>
      <c r="X71" s="47">
        <f>W71</f>
        <v>0</v>
      </c>
      <c r="Y71" s="47">
        <v>0</v>
      </c>
      <c r="Z71" s="88">
        <f>Y71</f>
        <v>0</v>
      </c>
    </row>
    <row r="72" spans="1:26" ht="291" customHeight="1">
      <c r="A72" s="172" t="s">
        <v>452</v>
      </c>
      <c r="B72" s="746" t="s">
        <v>6</v>
      </c>
      <c r="C72" s="746" t="s">
        <v>7</v>
      </c>
      <c r="D72" s="746" t="s">
        <v>436</v>
      </c>
      <c r="E72" s="746" t="s">
        <v>8</v>
      </c>
      <c r="F72" s="746" t="s">
        <v>453</v>
      </c>
      <c r="G72" s="746" t="s">
        <v>504</v>
      </c>
      <c r="H72" s="746" t="s">
        <v>9</v>
      </c>
      <c r="I72" s="166" t="s">
        <v>454</v>
      </c>
      <c r="J72" s="173">
        <v>36000</v>
      </c>
      <c r="K72" s="745">
        <v>27000</v>
      </c>
      <c r="L72" s="174"/>
      <c r="M72" s="175"/>
      <c r="N72" s="596"/>
      <c r="O72" s="160"/>
      <c r="P72" s="160"/>
      <c r="Q72" s="744" t="e">
        <f>Q73+Q74+#REF!+Q75+#REF!+#REF!</f>
        <v>#REF!</v>
      </c>
      <c r="R72" s="744" t="e">
        <f>R73+R74+#REF!+R75+#REF!+#REF!</f>
        <v>#REF!</v>
      </c>
      <c r="S72" s="744" t="e">
        <f>S73+S74+#REF!+S75+#REF!+#REF!</f>
        <v>#REF!</v>
      </c>
      <c r="T72" s="744" t="e">
        <f>T73+T74+#REF!+T75+#REF!+#REF!</f>
        <v>#REF!</v>
      </c>
      <c r="U72" s="745">
        <f aca="true" t="shared" si="31" ref="U72:Z72">U73+U74+U75</f>
        <v>36000</v>
      </c>
      <c r="V72" s="745">
        <f t="shared" si="31"/>
        <v>36000</v>
      </c>
      <c r="W72" s="745">
        <f t="shared" si="31"/>
        <v>18000</v>
      </c>
      <c r="X72" s="745">
        <f t="shared" si="31"/>
        <v>18000</v>
      </c>
      <c r="Y72" s="745">
        <f t="shared" si="31"/>
        <v>18000</v>
      </c>
      <c r="Z72" s="745">
        <f t="shared" si="31"/>
        <v>18000</v>
      </c>
    </row>
    <row r="73" spans="1:26" ht="38.25" customHeight="1">
      <c r="A73" s="989" t="s">
        <v>18</v>
      </c>
      <c r="B73" s="1011"/>
      <c r="C73" s="1011"/>
      <c r="D73" s="1011"/>
      <c r="E73" s="1011"/>
      <c r="F73" s="1011"/>
      <c r="G73" s="1011"/>
      <c r="H73" s="1011"/>
      <c r="I73" s="992" t="s">
        <v>631</v>
      </c>
      <c r="J73" s="950">
        <v>36000</v>
      </c>
      <c r="K73" s="1012">
        <v>27000</v>
      </c>
      <c r="L73" s="997" t="s">
        <v>455</v>
      </c>
      <c r="M73" s="153" t="s">
        <v>654</v>
      </c>
      <c r="N73" s="591" t="s">
        <v>244</v>
      </c>
      <c r="O73" s="49">
        <v>3300</v>
      </c>
      <c r="P73" s="50">
        <v>6.67</v>
      </c>
      <c r="Q73" s="50">
        <f>O73*P73</f>
        <v>22011</v>
      </c>
      <c r="R73" s="51">
        <v>22000</v>
      </c>
      <c r="S73" s="52">
        <v>22000</v>
      </c>
      <c r="T73" s="52">
        <v>22000</v>
      </c>
      <c r="U73" s="47">
        <v>11000</v>
      </c>
      <c r="V73" s="47">
        <f>U73</f>
        <v>11000</v>
      </c>
      <c r="W73" s="47">
        <v>4000</v>
      </c>
      <c r="X73" s="47">
        <f>W73</f>
        <v>4000</v>
      </c>
      <c r="Y73" s="47">
        <v>4000</v>
      </c>
      <c r="Z73" s="88">
        <f>Y73</f>
        <v>4000</v>
      </c>
    </row>
    <row r="74" spans="1:26" ht="68.25" customHeight="1">
      <c r="A74" s="989"/>
      <c r="B74" s="1011"/>
      <c r="C74" s="1011"/>
      <c r="D74" s="1011"/>
      <c r="E74" s="1011"/>
      <c r="F74" s="1011"/>
      <c r="G74" s="1011"/>
      <c r="H74" s="1011"/>
      <c r="I74" s="992"/>
      <c r="J74" s="950"/>
      <c r="K74" s="1012"/>
      <c r="L74" s="997"/>
      <c r="M74" s="153" t="s">
        <v>456</v>
      </c>
      <c r="N74" s="591" t="s">
        <v>245</v>
      </c>
      <c r="O74" s="49">
        <v>4</v>
      </c>
      <c r="P74" s="50">
        <v>8800</v>
      </c>
      <c r="Q74" s="50">
        <f>O74*P74</f>
        <v>35200</v>
      </c>
      <c r="R74" s="51">
        <v>35200</v>
      </c>
      <c r="S74" s="52">
        <v>35200</v>
      </c>
      <c r="T74" s="52">
        <v>35200</v>
      </c>
      <c r="U74" s="47">
        <v>16000</v>
      </c>
      <c r="V74" s="47">
        <f>U74</f>
        <v>16000</v>
      </c>
      <c r="W74" s="47">
        <v>5000</v>
      </c>
      <c r="X74" s="47">
        <f>W74</f>
        <v>5000</v>
      </c>
      <c r="Y74" s="47">
        <v>5000</v>
      </c>
      <c r="Z74" s="88">
        <f>Y74</f>
        <v>5000</v>
      </c>
    </row>
    <row r="75" spans="1:26" ht="55.5" customHeight="1">
      <c r="A75" s="989"/>
      <c r="B75" s="1011"/>
      <c r="C75" s="1011"/>
      <c r="D75" s="1011"/>
      <c r="E75" s="1011"/>
      <c r="F75" s="1011"/>
      <c r="G75" s="1011"/>
      <c r="H75" s="1011"/>
      <c r="I75" s="992"/>
      <c r="J75" s="950"/>
      <c r="K75" s="1012"/>
      <c r="L75" s="997"/>
      <c r="M75" s="153" t="s">
        <v>247</v>
      </c>
      <c r="N75" s="591" t="s">
        <v>457</v>
      </c>
      <c r="O75" s="49">
        <v>1</v>
      </c>
      <c r="P75" s="50">
        <v>15000</v>
      </c>
      <c r="Q75" s="50">
        <v>15000</v>
      </c>
      <c r="R75" s="51">
        <v>15000</v>
      </c>
      <c r="S75" s="52">
        <v>15000</v>
      </c>
      <c r="T75" s="52">
        <v>15000</v>
      </c>
      <c r="U75" s="47">
        <v>9000</v>
      </c>
      <c r="V75" s="47">
        <f>U75</f>
        <v>9000</v>
      </c>
      <c r="W75" s="47">
        <v>9000</v>
      </c>
      <c r="X75" s="47">
        <f>W75</f>
        <v>9000</v>
      </c>
      <c r="Y75" s="47">
        <v>9000</v>
      </c>
      <c r="Z75" s="88">
        <f>Y75</f>
        <v>9000</v>
      </c>
    </row>
    <row r="76" spans="1:26" ht="99.75" customHeight="1">
      <c r="A76" s="836" t="s">
        <v>707</v>
      </c>
      <c r="B76" s="1006" t="s">
        <v>6</v>
      </c>
      <c r="C76" s="1006" t="s">
        <v>20</v>
      </c>
      <c r="D76" s="1006" t="s">
        <v>458</v>
      </c>
      <c r="E76" s="1006" t="s">
        <v>8</v>
      </c>
      <c r="F76" s="1006" t="s">
        <v>459</v>
      </c>
      <c r="G76" s="1006" t="s">
        <v>481</v>
      </c>
      <c r="H76" s="1006" t="s">
        <v>9</v>
      </c>
      <c r="I76" s="1007" t="s">
        <v>460</v>
      </c>
      <c r="J76" s="1009">
        <f>J78+J79+J80+J81+J82+J83+J84+J85+J86+J87+J88+J89+J90+J91+J92+J93+J94+J95+J96+J97+J98+J99+J100+J101+J102+J103+J104+J105+J106+J107+J108</f>
        <v>14278073.059999997</v>
      </c>
      <c r="K76" s="1002">
        <f>K78+K79+K80+K81+K82+K83+K84+K85+K86+K87+K88+K89+K90+K91+K92+K93+K94+K95+K96+K97+K98+K99+K100+K101+K102+K103+K104+K105+K106+K107+K108+K109</f>
        <v>50788797.69245462</v>
      </c>
      <c r="L76" s="1010" t="s">
        <v>11</v>
      </c>
      <c r="M76" s="1003"/>
      <c r="N76" s="1005"/>
      <c r="O76" s="1002"/>
      <c r="P76" s="1002"/>
      <c r="Q76" s="1002">
        <f>Q78+Q79+Q80+Q81+Q82+Q83+Q84+Q85+Q86+Q87+Q88+Q89+Q90+Q91+Q92+Q93+Q94+Q95+Q96+Q97+Q98+Q99+Q100+Q101+Q102+Q103+Q104+Q105+Q106+Q107+Q108+Q109</f>
        <v>35791203</v>
      </c>
      <c r="R76" s="1002">
        <f aca="true" t="shared" si="32" ref="R76:Z76">SUM(R78:R109)</f>
        <v>35791203</v>
      </c>
      <c r="S76" s="1002">
        <f t="shared" si="32"/>
        <v>35791203</v>
      </c>
      <c r="T76" s="1002">
        <f t="shared" si="32"/>
        <v>35791203</v>
      </c>
      <c r="U76" s="998">
        <f t="shared" si="32"/>
        <v>38592998</v>
      </c>
      <c r="V76" s="998">
        <f t="shared" si="32"/>
        <v>38592998</v>
      </c>
      <c r="W76" s="998">
        <f t="shared" si="32"/>
        <v>36033398</v>
      </c>
      <c r="X76" s="998">
        <f t="shared" si="32"/>
        <v>36033398</v>
      </c>
      <c r="Y76" s="998">
        <f t="shared" si="32"/>
        <v>36572998</v>
      </c>
      <c r="Z76" s="998">
        <f t="shared" si="32"/>
        <v>36572998</v>
      </c>
    </row>
    <row r="77" spans="1:27" ht="189" customHeight="1">
      <c r="A77" s="837"/>
      <c r="B77" s="1006"/>
      <c r="C77" s="1006"/>
      <c r="D77" s="1006"/>
      <c r="E77" s="1006"/>
      <c r="F77" s="1006"/>
      <c r="G77" s="1006"/>
      <c r="H77" s="1006"/>
      <c r="I77" s="1008"/>
      <c r="J77" s="1009"/>
      <c r="K77" s="1002"/>
      <c r="L77" s="1010"/>
      <c r="M77" s="1004"/>
      <c r="N77" s="1005"/>
      <c r="O77" s="1002"/>
      <c r="P77" s="1002"/>
      <c r="Q77" s="1002"/>
      <c r="R77" s="1002"/>
      <c r="S77" s="1002"/>
      <c r="T77" s="1002"/>
      <c r="U77" s="998"/>
      <c r="V77" s="998"/>
      <c r="W77" s="998"/>
      <c r="X77" s="998"/>
      <c r="Y77" s="998"/>
      <c r="Z77" s="998"/>
      <c r="AA77" s="1" t="s">
        <v>753</v>
      </c>
    </row>
    <row r="78" spans="1:26" ht="46.5" customHeight="1">
      <c r="A78" s="197" t="s">
        <v>52</v>
      </c>
      <c r="B78" s="848"/>
      <c r="C78" s="848"/>
      <c r="D78" s="848"/>
      <c r="E78" s="848"/>
      <c r="F78" s="848"/>
      <c r="G78" s="848"/>
      <c r="H78" s="848"/>
      <c r="I78" s="847" t="s">
        <v>461</v>
      </c>
      <c r="J78" s="56">
        <v>1304545.75</v>
      </c>
      <c r="K78" s="198">
        <v>2273092.1</v>
      </c>
      <c r="L78" s="199"/>
      <c r="M78" s="999"/>
      <c r="N78" s="597"/>
      <c r="O78" s="29">
        <v>23540</v>
      </c>
      <c r="P78" s="29">
        <f>ROUND(Q78/O78,2)</f>
        <v>96.58</v>
      </c>
      <c r="Q78" s="29">
        <v>2273437.5</v>
      </c>
      <c r="R78" s="57">
        <v>2273437.5</v>
      </c>
      <c r="S78" s="57">
        <v>2273437.5</v>
      </c>
      <c r="T78" s="57">
        <v>2273437.5</v>
      </c>
      <c r="U78" s="55">
        <v>2273437.5</v>
      </c>
      <c r="V78" s="55">
        <f>U78</f>
        <v>2273437.5</v>
      </c>
      <c r="W78" s="47">
        <f aca="true" t="shared" si="33" ref="W78:W108">U78</f>
        <v>2273437.5</v>
      </c>
      <c r="X78" s="47">
        <f>W78</f>
        <v>2273437.5</v>
      </c>
      <c r="Y78" s="47">
        <f aca="true" t="shared" si="34" ref="Y78:Y108">W78</f>
        <v>2273437.5</v>
      </c>
      <c r="Z78" s="88">
        <f>Y78</f>
        <v>2273437.5</v>
      </c>
    </row>
    <row r="79" spans="1:26" ht="45" customHeight="1">
      <c r="A79" s="197" t="s">
        <v>22</v>
      </c>
      <c r="B79" s="848"/>
      <c r="C79" s="848"/>
      <c r="D79" s="848"/>
      <c r="E79" s="848"/>
      <c r="F79" s="848"/>
      <c r="G79" s="848"/>
      <c r="H79" s="848"/>
      <c r="I79" s="847"/>
      <c r="J79" s="56">
        <v>1251347</v>
      </c>
      <c r="K79" s="198">
        <v>1583583.3</v>
      </c>
      <c r="L79" s="199"/>
      <c r="M79" s="1000"/>
      <c r="N79" s="597"/>
      <c r="O79" s="29">
        <v>15980</v>
      </c>
      <c r="P79" s="29">
        <f aca="true" t="shared" si="35" ref="P79:P108">ROUND(Q79/O79,2)</f>
        <v>152.83</v>
      </c>
      <c r="Q79" s="29">
        <v>2442159.2</v>
      </c>
      <c r="R79" s="57">
        <v>2442159.2</v>
      </c>
      <c r="S79" s="57">
        <v>2442159.2</v>
      </c>
      <c r="T79" s="57">
        <v>2442159.2</v>
      </c>
      <c r="U79" s="55">
        <v>2442159.2</v>
      </c>
      <c r="V79" s="55">
        <f aca="true" t="shared" si="36" ref="V79:V109">U79</f>
        <v>2442159.2</v>
      </c>
      <c r="W79" s="47">
        <f t="shared" si="33"/>
        <v>2442159.2</v>
      </c>
      <c r="X79" s="47">
        <f aca="true" t="shared" si="37" ref="X79:X108">W79</f>
        <v>2442159.2</v>
      </c>
      <c r="Y79" s="47">
        <f t="shared" si="34"/>
        <v>2442159.2</v>
      </c>
      <c r="Z79" s="88">
        <f aca="true" t="shared" si="38" ref="Z79:Z108">Y79</f>
        <v>2442159.2</v>
      </c>
    </row>
    <row r="80" spans="1:26" ht="39.75" customHeight="1">
      <c r="A80" s="197" t="s">
        <v>23</v>
      </c>
      <c r="B80" s="848"/>
      <c r="C80" s="848"/>
      <c r="D80" s="848"/>
      <c r="E80" s="848"/>
      <c r="F80" s="848"/>
      <c r="G80" s="848"/>
      <c r="H80" s="848"/>
      <c r="I80" s="847"/>
      <c r="J80" s="56">
        <v>1383873.37</v>
      </c>
      <c r="K80" s="198">
        <v>1385635.359116022</v>
      </c>
      <c r="L80" s="199"/>
      <c r="M80" s="1000"/>
      <c r="N80" s="598"/>
      <c r="O80" s="29">
        <f>6000+7000</f>
        <v>13000</v>
      </c>
      <c r="P80" s="29">
        <f t="shared" si="35"/>
        <v>99.04</v>
      </c>
      <c r="Q80" s="29">
        <v>1287540</v>
      </c>
      <c r="R80" s="29">
        <v>1287540</v>
      </c>
      <c r="S80" s="29">
        <v>1287540</v>
      </c>
      <c r="T80" s="29">
        <v>1287540</v>
      </c>
      <c r="U80" s="75">
        <v>1287540</v>
      </c>
      <c r="V80" s="55">
        <f t="shared" si="36"/>
        <v>1287540</v>
      </c>
      <c r="W80" s="47">
        <f t="shared" si="33"/>
        <v>1287540</v>
      </c>
      <c r="X80" s="47">
        <f t="shared" si="37"/>
        <v>1287540</v>
      </c>
      <c r="Y80" s="47">
        <f t="shared" si="34"/>
        <v>1287540</v>
      </c>
      <c r="Z80" s="88">
        <f t="shared" si="38"/>
        <v>1287540</v>
      </c>
    </row>
    <row r="81" spans="1:26" ht="89.25" customHeight="1">
      <c r="A81" s="197" t="s">
        <v>655</v>
      </c>
      <c r="B81" s="848"/>
      <c r="C81" s="848"/>
      <c r="D81" s="848"/>
      <c r="E81" s="848"/>
      <c r="F81" s="848"/>
      <c r="G81" s="848"/>
      <c r="H81" s="848"/>
      <c r="I81" s="847"/>
      <c r="J81" s="56">
        <v>1469517.42</v>
      </c>
      <c r="K81" s="198">
        <v>4159509.3133385954</v>
      </c>
      <c r="L81" s="199"/>
      <c r="M81" s="1000"/>
      <c r="N81" s="597"/>
      <c r="O81" s="29">
        <v>2788</v>
      </c>
      <c r="P81" s="29">
        <f t="shared" si="35"/>
        <v>1117.68</v>
      </c>
      <c r="Q81" s="29">
        <v>3116102.5</v>
      </c>
      <c r="R81" s="57">
        <v>3116102.5</v>
      </c>
      <c r="S81" s="57">
        <v>3116102.5</v>
      </c>
      <c r="T81" s="57">
        <v>3116102.5</v>
      </c>
      <c r="U81" s="55">
        <v>3116102.5</v>
      </c>
      <c r="V81" s="55">
        <f t="shared" si="36"/>
        <v>3116102.5</v>
      </c>
      <c r="W81" s="47">
        <f t="shared" si="33"/>
        <v>3116102.5</v>
      </c>
      <c r="X81" s="47">
        <f t="shared" si="37"/>
        <v>3116102.5</v>
      </c>
      <c r="Y81" s="47">
        <f t="shared" si="34"/>
        <v>3116102.5</v>
      </c>
      <c r="Z81" s="88">
        <f t="shared" si="38"/>
        <v>3116102.5</v>
      </c>
    </row>
    <row r="82" spans="1:26" ht="46.5" customHeight="1">
      <c r="A82" s="197" t="s">
        <v>25</v>
      </c>
      <c r="B82" s="848"/>
      <c r="C82" s="848"/>
      <c r="D82" s="848"/>
      <c r="E82" s="848"/>
      <c r="F82" s="848"/>
      <c r="G82" s="848"/>
      <c r="H82" s="848"/>
      <c r="I82" s="847"/>
      <c r="J82" s="56">
        <v>316716.98</v>
      </c>
      <c r="K82" s="198">
        <v>854150</v>
      </c>
      <c r="L82" s="199"/>
      <c r="M82" s="1000"/>
      <c r="N82" s="597"/>
      <c r="O82" s="29">
        <v>3662</v>
      </c>
      <c r="P82" s="29">
        <f t="shared" si="35"/>
        <v>317.64</v>
      </c>
      <c r="Q82" s="29">
        <v>1163210.5</v>
      </c>
      <c r="R82" s="57">
        <v>1163210.5</v>
      </c>
      <c r="S82" s="57">
        <v>1163210.5</v>
      </c>
      <c r="T82" s="57">
        <v>1163210.5</v>
      </c>
      <c r="U82" s="55">
        <v>1163210.5</v>
      </c>
      <c r="V82" s="55">
        <f t="shared" si="36"/>
        <v>1163210.5</v>
      </c>
      <c r="W82" s="47">
        <f t="shared" si="33"/>
        <v>1163210.5</v>
      </c>
      <c r="X82" s="47">
        <f t="shared" si="37"/>
        <v>1163210.5</v>
      </c>
      <c r="Y82" s="47">
        <f t="shared" si="34"/>
        <v>1163210.5</v>
      </c>
      <c r="Z82" s="88">
        <f t="shared" si="38"/>
        <v>1163210.5</v>
      </c>
    </row>
    <row r="83" spans="1:26" ht="46.5" customHeight="1">
      <c r="A83" s="197" t="s">
        <v>26</v>
      </c>
      <c r="B83" s="848"/>
      <c r="C83" s="848"/>
      <c r="D83" s="848"/>
      <c r="E83" s="848"/>
      <c r="F83" s="848"/>
      <c r="G83" s="848"/>
      <c r="H83" s="848"/>
      <c r="I83" s="847"/>
      <c r="J83" s="56">
        <v>321494.1</v>
      </c>
      <c r="K83" s="198">
        <v>779750</v>
      </c>
      <c r="L83" s="199"/>
      <c r="M83" s="1000"/>
      <c r="N83" s="598"/>
      <c r="O83" s="29">
        <v>2590</v>
      </c>
      <c r="P83" s="29">
        <f t="shared" si="35"/>
        <v>160.13</v>
      </c>
      <c r="Q83" s="29">
        <v>414735</v>
      </c>
      <c r="R83" s="57">
        <v>414735</v>
      </c>
      <c r="S83" s="57">
        <v>414735</v>
      </c>
      <c r="T83" s="57">
        <v>414735</v>
      </c>
      <c r="U83" s="55">
        <v>414735</v>
      </c>
      <c r="V83" s="55">
        <f t="shared" si="36"/>
        <v>414735</v>
      </c>
      <c r="W83" s="47">
        <f t="shared" si="33"/>
        <v>414735</v>
      </c>
      <c r="X83" s="47">
        <f t="shared" si="37"/>
        <v>414735</v>
      </c>
      <c r="Y83" s="47">
        <f t="shared" si="34"/>
        <v>414735</v>
      </c>
      <c r="Z83" s="88">
        <f t="shared" si="38"/>
        <v>414735</v>
      </c>
    </row>
    <row r="84" spans="1:26" ht="46.5" customHeight="1">
      <c r="A84" s="197" t="s">
        <v>53</v>
      </c>
      <c r="B84" s="848"/>
      <c r="C84" s="848"/>
      <c r="D84" s="848"/>
      <c r="E84" s="848"/>
      <c r="F84" s="848"/>
      <c r="G84" s="848"/>
      <c r="H84" s="848"/>
      <c r="I84" s="847"/>
      <c r="J84" s="56">
        <v>296559</v>
      </c>
      <c r="K84" s="198">
        <v>605850</v>
      </c>
      <c r="L84" s="199"/>
      <c r="M84" s="1000"/>
      <c r="N84" s="597"/>
      <c r="O84" s="29">
        <v>2075</v>
      </c>
      <c r="P84" s="29">
        <f t="shared" si="35"/>
        <v>193.54</v>
      </c>
      <c r="Q84" s="29">
        <v>401590</v>
      </c>
      <c r="R84" s="57">
        <v>401590</v>
      </c>
      <c r="S84" s="57">
        <v>401590</v>
      </c>
      <c r="T84" s="57">
        <v>401590</v>
      </c>
      <c r="U84" s="55">
        <v>401590</v>
      </c>
      <c r="V84" s="55">
        <f t="shared" si="36"/>
        <v>401590</v>
      </c>
      <c r="W84" s="47">
        <f t="shared" si="33"/>
        <v>401590</v>
      </c>
      <c r="X84" s="47">
        <f t="shared" si="37"/>
        <v>401590</v>
      </c>
      <c r="Y84" s="47">
        <f t="shared" si="34"/>
        <v>401590</v>
      </c>
      <c r="Z84" s="88">
        <f t="shared" si="38"/>
        <v>401590</v>
      </c>
    </row>
    <row r="85" spans="1:26" ht="60.75" customHeight="1">
      <c r="A85" s="197" t="s">
        <v>28</v>
      </c>
      <c r="B85" s="848"/>
      <c r="C85" s="848"/>
      <c r="D85" s="848"/>
      <c r="E85" s="848"/>
      <c r="F85" s="848"/>
      <c r="G85" s="848"/>
      <c r="H85" s="848"/>
      <c r="I85" s="847"/>
      <c r="J85" s="56">
        <v>353527</v>
      </c>
      <c r="K85" s="198">
        <v>535600</v>
      </c>
      <c r="L85" s="199"/>
      <c r="M85" s="1000"/>
      <c r="N85" s="597"/>
      <c r="O85" s="29">
        <v>2317</v>
      </c>
      <c r="P85" s="29">
        <f t="shared" si="35"/>
        <v>115.73</v>
      </c>
      <c r="Q85" s="29">
        <v>268148</v>
      </c>
      <c r="R85" s="57">
        <v>268148</v>
      </c>
      <c r="S85" s="57">
        <v>268148</v>
      </c>
      <c r="T85" s="57">
        <v>268148</v>
      </c>
      <c r="U85" s="55">
        <v>268148</v>
      </c>
      <c r="V85" s="55">
        <f t="shared" si="36"/>
        <v>268148</v>
      </c>
      <c r="W85" s="47">
        <f t="shared" si="33"/>
        <v>268148</v>
      </c>
      <c r="X85" s="47">
        <f t="shared" si="37"/>
        <v>268148</v>
      </c>
      <c r="Y85" s="47">
        <f t="shared" si="34"/>
        <v>268148</v>
      </c>
      <c r="Z85" s="88">
        <f t="shared" si="38"/>
        <v>268148</v>
      </c>
    </row>
    <row r="86" spans="1:26" ht="46.5" customHeight="1">
      <c r="A86" s="197" t="s">
        <v>54</v>
      </c>
      <c r="B86" s="848"/>
      <c r="C86" s="848"/>
      <c r="D86" s="848"/>
      <c r="E86" s="848"/>
      <c r="F86" s="848"/>
      <c r="G86" s="848"/>
      <c r="H86" s="848"/>
      <c r="I86" s="847"/>
      <c r="J86" s="56">
        <v>227241.12</v>
      </c>
      <c r="K86" s="198">
        <v>527250</v>
      </c>
      <c r="L86" s="199"/>
      <c r="M86" s="1000"/>
      <c r="N86" s="598"/>
      <c r="O86" s="29">
        <v>2044</v>
      </c>
      <c r="P86" s="29">
        <f t="shared" si="35"/>
        <v>101.87</v>
      </c>
      <c r="Q86" s="29">
        <v>208217.4</v>
      </c>
      <c r="R86" s="57">
        <v>208217.4</v>
      </c>
      <c r="S86" s="57">
        <v>208217.4</v>
      </c>
      <c r="T86" s="57">
        <v>208217.4</v>
      </c>
      <c r="U86" s="55">
        <v>208217.4</v>
      </c>
      <c r="V86" s="55">
        <f t="shared" si="36"/>
        <v>208217.4</v>
      </c>
      <c r="W86" s="47">
        <f t="shared" si="33"/>
        <v>208217.4</v>
      </c>
      <c r="X86" s="47">
        <f t="shared" si="37"/>
        <v>208217.4</v>
      </c>
      <c r="Y86" s="47">
        <f t="shared" si="34"/>
        <v>208217.4</v>
      </c>
      <c r="Z86" s="88">
        <f t="shared" si="38"/>
        <v>208217.4</v>
      </c>
    </row>
    <row r="87" spans="1:26" ht="66.75" customHeight="1">
      <c r="A87" s="197" t="s">
        <v>30</v>
      </c>
      <c r="B87" s="848"/>
      <c r="C87" s="848"/>
      <c r="D87" s="848"/>
      <c r="E87" s="848"/>
      <c r="F87" s="848"/>
      <c r="G87" s="848"/>
      <c r="H87" s="848"/>
      <c r="I87" s="847"/>
      <c r="J87" s="56">
        <v>151655.66</v>
      </c>
      <c r="K87" s="198">
        <v>701500</v>
      </c>
      <c r="L87" s="199"/>
      <c r="M87" s="1000"/>
      <c r="N87" s="598"/>
      <c r="O87" s="29">
        <v>2560</v>
      </c>
      <c r="P87" s="29">
        <f t="shared" si="35"/>
        <v>219.92</v>
      </c>
      <c r="Q87" s="29">
        <v>563000</v>
      </c>
      <c r="R87" s="57">
        <v>563000</v>
      </c>
      <c r="S87" s="57">
        <v>563000</v>
      </c>
      <c r="T87" s="57">
        <v>563000</v>
      </c>
      <c r="U87" s="55">
        <v>563000</v>
      </c>
      <c r="V87" s="55">
        <f t="shared" si="36"/>
        <v>563000</v>
      </c>
      <c r="W87" s="47">
        <f t="shared" si="33"/>
        <v>563000</v>
      </c>
      <c r="X87" s="47">
        <f t="shared" si="37"/>
        <v>563000</v>
      </c>
      <c r="Y87" s="47">
        <f t="shared" si="34"/>
        <v>563000</v>
      </c>
      <c r="Z87" s="88">
        <f t="shared" si="38"/>
        <v>563000</v>
      </c>
    </row>
    <row r="88" spans="1:26" ht="46.5" customHeight="1">
      <c r="A88" s="197" t="s">
        <v>31</v>
      </c>
      <c r="B88" s="848"/>
      <c r="C88" s="848"/>
      <c r="D88" s="848"/>
      <c r="E88" s="848"/>
      <c r="F88" s="848"/>
      <c r="G88" s="848"/>
      <c r="H88" s="848"/>
      <c r="I88" s="847"/>
      <c r="J88" s="35">
        <v>16757.25</v>
      </c>
      <c r="K88" s="198">
        <v>228950</v>
      </c>
      <c r="L88" s="199"/>
      <c r="M88" s="1000"/>
      <c r="N88" s="598"/>
      <c r="O88" s="29">
        <v>107</v>
      </c>
      <c r="P88" s="29">
        <f t="shared" si="35"/>
        <v>1979.25</v>
      </c>
      <c r="Q88" s="29">
        <v>211779.7</v>
      </c>
      <c r="R88" s="29">
        <v>211779.7</v>
      </c>
      <c r="S88" s="29">
        <v>211779.7</v>
      </c>
      <c r="T88" s="29">
        <v>211779.7</v>
      </c>
      <c r="U88" s="75">
        <v>211779.7</v>
      </c>
      <c r="V88" s="55">
        <f t="shared" si="36"/>
        <v>211779.7</v>
      </c>
      <c r="W88" s="47">
        <f t="shared" si="33"/>
        <v>211779.7</v>
      </c>
      <c r="X88" s="47">
        <f t="shared" si="37"/>
        <v>211779.7</v>
      </c>
      <c r="Y88" s="47">
        <f t="shared" si="34"/>
        <v>211779.7</v>
      </c>
      <c r="Z88" s="88">
        <f t="shared" si="38"/>
        <v>211779.7</v>
      </c>
    </row>
    <row r="89" spans="1:26" ht="46.5" customHeight="1">
      <c r="A89" s="197" t="s">
        <v>55</v>
      </c>
      <c r="B89" s="848"/>
      <c r="C89" s="848"/>
      <c r="D89" s="848"/>
      <c r="E89" s="848"/>
      <c r="F89" s="848"/>
      <c r="G89" s="848"/>
      <c r="H89" s="848"/>
      <c r="I89" s="847"/>
      <c r="J89" s="56">
        <v>287604</v>
      </c>
      <c r="K89" s="198">
        <v>658000</v>
      </c>
      <c r="L89" s="199"/>
      <c r="M89" s="1000"/>
      <c r="N89" s="598"/>
      <c r="O89" s="29">
        <v>2185</v>
      </c>
      <c r="P89" s="29">
        <f t="shared" si="35"/>
        <v>240.85</v>
      </c>
      <c r="Q89" s="29">
        <v>526261.9</v>
      </c>
      <c r="R89" s="57">
        <v>526261.9</v>
      </c>
      <c r="S89" s="57">
        <v>526261.9</v>
      </c>
      <c r="T89" s="57">
        <v>526261.9</v>
      </c>
      <c r="U89" s="55">
        <v>526261.9</v>
      </c>
      <c r="V89" s="55">
        <f t="shared" si="36"/>
        <v>526261.9</v>
      </c>
      <c r="W89" s="47">
        <f t="shared" si="33"/>
        <v>526261.9</v>
      </c>
      <c r="X89" s="47">
        <f t="shared" si="37"/>
        <v>526261.9</v>
      </c>
      <c r="Y89" s="47">
        <f t="shared" si="34"/>
        <v>526261.9</v>
      </c>
      <c r="Z89" s="88">
        <f t="shared" si="38"/>
        <v>526261.9</v>
      </c>
    </row>
    <row r="90" spans="1:26" ht="61.5" customHeight="1">
      <c r="A90" s="197" t="s">
        <v>33</v>
      </c>
      <c r="B90" s="848"/>
      <c r="C90" s="848"/>
      <c r="D90" s="848"/>
      <c r="E90" s="848"/>
      <c r="F90" s="848"/>
      <c r="G90" s="848"/>
      <c r="H90" s="848"/>
      <c r="I90" s="847"/>
      <c r="J90" s="56">
        <v>109040.26</v>
      </c>
      <c r="K90" s="198">
        <v>212900</v>
      </c>
      <c r="L90" s="199"/>
      <c r="M90" s="1000"/>
      <c r="N90" s="597"/>
      <c r="O90" s="29">
        <v>570</v>
      </c>
      <c r="P90" s="29">
        <f t="shared" si="35"/>
        <v>375.23</v>
      </c>
      <c r="Q90" s="29">
        <v>213879.2</v>
      </c>
      <c r="R90" s="57">
        <v>213879.2</v>
      </c>
      <c r="S90" s="57">
        <v>213879.2</v>
      </c>
      <c r="T90" s="57">
        <v>213879.2</v>
      </c>
      <c r="U90" s="55">
        <v>213879.2</v>
      </c>
      <c r="V90" s="55">
        <f t="shared" si="36"/>
        <v>213879.2</v>
      </c>
      <c r="W90" s="47">
        <f t="shared" si="33"/>
        <v>213879.2</v>
      </c>
      <c r="X90" s="47">
        <f t="shared" si="37"/>
        <v>213879.2</v>
      </c>
      <c r="Y90" s="47">
        <f t="shared" si="34"/>
        <v>213879.2</v>
      </c>
      <c r="Z90" s="88">
        <f t="shared" si="38"/>
        <v>213879.2</v>
      </c>
    </row>
    <row r="91" spans="1:26" ht="67.5" customHeight="1">
      <c r="A91" s="197" t="s">
        <v>34</v>
      </c>
      <c r="B91" s="848"/>
      <c r="C91" s="848"/>
      <c r="D91" s="848"/>
      <c r="E91" s="848"/>
      <c r="F91" s="848"/>
      <c r="G91" s="848"/>
      <c r="H91" s="848"/>
      <c r="I91" s="847"/>
      <c r="J91" s="56">
        <v>129688</v>
      </c>
      <c r="K91" s="198">
        <v>279300</v>
      </c>
      <c r="L91" s="199"/>
      <c r="M91" s="1000"/>
      <c r="N91" s="597"/>
      <c r="O91" s="29">
        <v>850</v>
      </c>
      <c r="P91" s="29">
        <f t="shared" si="35"/>
        <v>219.14</v>
      </c>
      <c r="Q91" s="57">
        <v>186265.6</v>
      </c>
      <c r="R91" s="57">
        <v>186265.6</v>
      </c>
      <c r="S91" s="57">
        <v>186265.6</v>
      </c>
      <c r="T91" s="57">
        <v>186265.6</v>
      </c>
      <c r="U91" s="55">
        <v>186265.6</v>
      </c>
      <c r="V91" s="55">
        <f t="shared" si="36"/>
        <v>186265.6</v>
      </c>
      <c r="W91" s="47">
        <f t="shared" si="33"/>
        <v>186265.6</v>
      </c>
      <c r="X91" s="47">
        <f t="shared" si="37"/>
        <v>186265.6</v>
      </c>
      <c r="Y91" s="47">
        <f t="shared" si="34"/>
        <v>186265.6</v>
      </c>
      <c r="Z91" s="88">
        <f t="shared" si="38"/>
        <v>186265.6</v>
      </c>
    </row>
    <row r="92" spans="1:26" ht="46.5" customHeight="1">
      <c r="A92" s="197" t="s">
        <v>35</v>
      </c>
      <c r="B92" s="848"/>
      <c r="C92" s="848"/>
      <c r="D92" s="848"/>
      <c r="E92" s="848"/>
      <c r="F92" s="848"/>
      <c r="G92" s="848"/>
      <c r="H92" s="848"/>
      <c r="I92" s="847"/>
      <c r="J92" s="56">
        <v>421947</v>
      </c>
      <c r="K92" s="198">
        <v>1020950</v>
      </c>
      <c r="L92" s="199"/>
      <c r="M92" s="1000"/>
      <c r="N92" s="597"/>
      <c r="O92" s="54">
        <v>3620</v>
      </c>
      <c r="P92" s="29">
        <f t="shared" si="35"/>
        <v>188.59</v>
      </c>
      <c r="Q92" s="29">
        <v>682711.2</v>
      </c>
      <c r="R92" s="57">
        <v>682711.2</v>
      </c>
      <c r="S92" s="57">
        <v>682711.2</v>
      </c>
      <c r="T92" s="57">
        <v>682711.2</v>
      </c>
      <c r="U92" s="55">
        <v>682711.2</v>
      </c>
      <c r="V92" s="55">
        <f t="shared" si="36"/>
        <v>682711.2</v>
      </c>
      <c r="W92" s="47">
        <f t="shared" si="33"/>
        <v>682711.2</v>
      </c>
      <c r="X92" s="47">
        <f t="shared" si="37"/>
        <v>682711.2</v>
      </c>
      <c r="Y92" s="47">
        <f t="shared" si="34"/>
        <v>682711.2</v>
      </c>
      <c r="Z92" s="88">
        <f t="shared" si="38"/>
        <v>682711.2</v>
      </c>
    </row>
    <row r="93" spans="1:26" ht="46.5" customHeight="1">
      <c r="A93" s="197" t="s">
        <v>39</v>
      </c>
      <c r="B93" s="848"/>
      <c r="C93" s="848"/>
      <c r="D93" s="848"/>
      <c r="E93" s="848"/>
      <c r="F93" s="848"/>
      <c r="G93" s="848"/>
      <c r="H93" s="848"/>
      <c r="I93" s="847"/>
      <c r="J93" s="55">
        <v>1508183.92</v>
      </c>
      <c r="K93" s="198">
        <v>3918700</v>
      </c>
      <c r="L93" s="200"/>
      <c r="M93" s="1000"/>
      <c r="N93" s="598"/>
      <c r="O93" s="29">
        <v>1386</v>
      </c>
      <c r="P93" s="29">
        <f t="shared" si="35"/>
        <v>2988.06</v>
      </c>
      <c r="Q93" s="29">
        <v>4141456.9</v>
      </c>
      <c r="R93" s="29">
        <v>4141456.9</v>
      </c>
      <c r="S93" s="29">
        <v>4141456.9</v>
      </c>
      <c r="T93" s="29">
        <v>4141456.9</v>
      </c>
      <c r="U93" s="75">
        <v>4141456.9</v>
      </c>
      <c r="V93" s="55">
        <f t="shared" si="36"/>
        <v>4141456.9</v>
      </c>
      <c r="W93" s="47">
        <f t="shared" si="33"/>
        <v>4141456.9</v>
      </c>
      <c r="X93" s="47">
        <f t="shared" si="37"/>
        <v>4141456.9</v>
      </c>
      <c r="Y93" s="47">
        <f t="shared" si="34"/>
        <v>4141456.9</v>
      </c>
      <c r="Z93" s="88">
        <f t="shared" si="38"/>
        <v>4141456.9</v>
      </c>
    </row>
    <row r="94" spans="1:26" ht="72" customHeight="1">
      <c r="A94" s="197" t="s">
        <v>36</v>
      </c>
      <c r="B94" s="848"/>
      <c r="C94" s="848"/>
      <c r="D94" s="848"/>
      <c r="E94" s="848"/>
      <c r="F94" s="848"/>
      <c r="G94" s="848"/>
      <c r="H94" s="848"/>
      <c r="I94" s="847"/>
      <c r="J94" s="56">
        <v>230261.7</v>
      </c>
      <c r="K94" s="198">
        <v>507600</v>
      </c>
      <c r="L94" s="199"/>
      <c r="M94" s="1000"/>
      <c r="N94" s="597"/>
      <c r="O94" s="29">
        <v>1820</v>
      </c>
      <c r="P94" s="29">
        <f t="shared" si="35"/>
        <v>250</v>
      </c>
      <c r="Q94" s="29">
        <v>455005.2</v>
      </c>
      <c r="R94" s="57">
        <v>455005.2</v>
      </c>
      <c r="S94" s="57">
        <v>455005.2</v>
      </c>
      <c r="T94" s="57">
        <v>455005.2</v>
      </c>
      <c r="U94" s="55">
        <v>455005.2</v>
      </c>
      <c r="V94" s="55">
        <f t="shared" si="36"/>
        <v>455005.2</v>
      </c>
      <c r="W94" s="47">
        <f t="shared" si="33"/>
        <v>455005.2</v>
      </c>
      <c r="X94" s="47">
        <f t="shared" si="37"/>
        <v>455005.2</v>
      </c>
      <c r="Y94" s="47">
        <f t="shared" si="34"/>
        <v>455005.2</v>
      </c>
      <c r="Z94" s="88">
        <f t="shared" si="38"/>
        <v>455005.2</v>
      </c>
    </row>
    <row r="95" spans="1:26" ht="46.5" customHeight="1">
      <c r="A95" s="197" t="s">
        <v>48</v>
      </c>
      <c r="B95" s="848"/>
      <c r="C95" s="848"/>
      <c r="D95" s="848"/>
      <c r="E95" s="848"/>
      <c r="F95" s="848"/>
      <c r="G95" s="848"/>
      <c r="H95" s="848"/>
      <c r="I95" s="847"/>
      <c r="J95" s="56">
        <v>1347600</v>
      </c>
      <c r="K95" s="198">
        <v>2850200</v>
      </c>
      <c r="L95" s="199"/>
      <c r="M95" s="1000"/>
      <c r="N95" s="598"/>
      <c r="O95" s="29">
        <v>1694</v>
      </c>
      <c r="P95" s="29">
        <f t="shared" si="35"/>
        <v>1084.36</v>
      </c>
      <c r="Q95" s="29">
        <v>1836909.4</v>
      </c>
      <c r="R95" s="29">
        <v>1836909.4</v>
      </c>
      <c r="S95" s="29">
        <v>1836909.4</v>
      </c>
      <c r="T95" s="29">
        <v>1836909.4</v>
      </c>
      <c r="U95" s="75">
        <v>1836909.4</v>
      </c>
      <c r="V95" s="55">
        <f t="shared" si="36"/>
        <v>1836909.4</v>
      </c>
      <c r="W95" s="47">
        <f t="shared" si="33"/>
        <v>1836909.4</v>
      </c>
      <c r="X95" s="47">
        <f t="shared" si="37"/>
        <v>1836909.4</v>
      </c>
      <c r="Y95" s="47">
        <f t="shared" si="34"/>
        <v>1836909.4</v>
      </c>
      <c r="Z95" s="88">
        <f t="shared" si="38"/>
        <v>1836909.4</v>
      </c>
    </row>
    <row r="96" spans="1:26" ht="66" customHeight="1">
      <c r="A96" s="197" t="s">
        <v>56</v>
      </c>
      <c r="B96" s="848"/>
      <c r="C96" s="848"/>
      <c r="D96" s="848"/>
      <c r="E96" s="848"/>
      <c r="F96" s="848"/>
      <c r="G96" s="848"/>
      <c r="H96" s="848"/>
      <c r="I96" s="847"/>
      <c r="J96" s="56">
        <v>424957</v>
      </c>
      <c r="K96" s="198">
        <v>968200</v>
      </c>
      <c r="L96" s="199"/>
      <c r="M96" s="1000"/>
      <c r="N96" s="597"/>
      <c r="O96" s="29">
        <v>4176</v>
      </c>
      <c r="P96" s="29">
        <f t="shared" si="35"/>
        <v>173.91</v>
      </c>
      <c r="Q96" s="29">
        <v>726263.5</v>
      </c>
      <c r="R96" s="57">
        <v>726263.5</v>
      </c>
      <c r="S96" s="57">
        <v>726263.5</v>
      </c>
      <c r="T96" s="57">
        <v>726263.5</v>
      </c>
      <c r="U96" s="55">
        <v>726263.5</v>
      </c>
      <c r="V96" s="55">
        <f t="shared" si="36"/>
        <v>726263.5</v>
      </c>
      <c r="W96" s="47">
        <f t="shared" si="33"/>
        <v>726263.5</v>
      </c>
      <c r="X96" s="47">
        <f t="shared" si="37"/>
        <v>726263.5</v>
      </c>
      <c r="Y96" s="47">
        <f t="shared" si="34"/>
        <v>726263.5</v>
      </c>
      <c r="Z96" s="88">
        <f t="shared" si="38"/>
        <v>726263.5</v>
      </c>
    </row>
    <row r="97" spans="1:26" ht="66" customHeight="1">
      <c r="A97" s="197" t="s">
        <v>37</v>
      </c>
      <c r="B97" s="848"/>
      <c r="C97" s="848"/>
      <c r="D97" s="848"/>
      <c r="E97" s="848"/>
      <c r="F97" s="848"/>
      <c r="G97" s="848"/>
      <c r="H97" s="848"/>
      <c r="I97" s="847"/>
      <c r="J97" s="56">
        <v>121865.94</v>
      </c>
      <c r="K97" s="198">
        <v>383350</v>
      </c>
      <c r="L97" s="199"/>
      <c r="M97" s="1000"/>
      <c r="N97" s="598"/>
      <c r="O97" s="29">
        <v>1406</v>
      </c>
      <c r="P97" s="29">
        <f t="shared" si="35"/>
        <v>280.83</v>
      </c>
      <c r="Q97" s="29">
        <v>394849.1</v>
      </c>
      <c r="R97" s="57">
        <v>394849.1</v>
      </c>
      <c r="S97" s="57">
        <v>394849.1</v>
      </c>
      <c r="T97" s="57">
        <v>394849.1</v>
      </c>
      <c r="U97" s="55">
        <v>394849.1</v>
      </c>
      <c r="V97" s="55">
        <f t="shared" si="36"/>
        <v>394849.1</v>
      </c>
      <c r="W97" s="47">
        <f t="shared" si="33"/>
        <v>394849.1</v>
      </c>
      <c r="X97" s="47">
        <f t="shared" si="37"/>
        <v>394849.1</v>
      </c>
      <c r="Y97" s="47">
        <f t="shared" si="34"/>
        <v>394849.1</v>
      </c>
      <c r="Z97" s="88">
        <f t="shared" si="38"/>
        <v>394849.1</v>
      </c>
    </row>
    <row r="98" spans="1:26" ht="62.25" customHeight="1">
      <c r="A98" s="197" t="s">
        <v>57</v>
      </c>
      <c r="B98" s="848"/>
      <c r="C98" s="848"/>
      <c r="D98" s="848"/>
      <c r="E98" s="848"/>
      <c r="F98" s="848"/>
      <c r="G98" s="848"/>
      <c r="H98" s="848"/>
      <c r="I98" s="848"/>
      <c r="J98" s="56">
        <v>212294</v>
      </c>
      <c r="K98" s="198">
        <v>740802.76</v>
      </c>
      <c r="L98" s="199"/>
      <c r="M98" s="1000"/>
      <c r="N98" s="598"/>
      <c r="O98" s="29">
        <v>594.97</v>
      </c>
      <c r="P98" s="29">
        <f t="shared" si="35"/>
        <v>622.1</v>
      </c>
      <c r="Q98" s="29">
        <v>370129.5</v>
      </c>
      <c r="R98" s="57">
        <v>370129.5</v>
      </c>
      <c r="S98" s="57">
        <v>370129.5</v>
      </c>
      <c r="T98" s="57">
        <v>370129.5</v>
      </c>
      <c r="U98" s="55">
        <v>370129.5</v>
      </c>
      <c r="V98" s="55">
        <f t="shared" si="36"/>
        <v>370129.5</v>
      </c>
      <c r="W98" s="47">
        <f t="shared" si="33"/>
        <v>370129.5</v>
      </c>
      <c r="X98" s="47">
        <f t="shared" si="37"/>
        <v>370129.5</v>
      </c>
      <c r="Y98" s="47">
        <f t="shared" si="34"/>
        <v>370129.5</v>
      </c>
      <c r="Z98" s="88">
        <f t="shared" si="38"/>
        <v>370129.5</v>
      </c>
    </row>
    <row r="99" spans="1:26" ht="44.25" customHeight="1">
      <c r="A99" s="197" t="s">
        <v>46</v>
      </c>
      <c r="B99" s="848"/>
      <c r="C99" s="848"/>
      <c r="D99" s="848"/>
      <c r="E99" s="848"/>
      <c r="F99" s="848"/>
      <c r="G99" s="848"/>
      <c r="H99" s="848"/>
      <c r="I99" s="848"/>
      <c r="J99" s="56">
        <v>990890</v>
      </c>
      <c r="K99" s="198">
        <v>3506250</v>
      </c>
      <c r="L99" s="199"/>
      <c r="M99" s="1000"/>
      <c r="N99" s="597"/>
      <c r="O99" s="29">
        <v>10050</v>
      </c>
      <c r="P99" s="29">
        <f t="shared" si="35"/>
        <v>198.09</v>
      </c>
      <c r="Q99" s="29">
        <v>1990836</v>
      </c>
      <c r="R99" s="57">
        <v>1990836</v>
      </c>
      <c r="S99" s="57">
        <v>1990836</v>
      </c>
      <c r="T99" s="57">
        <v>1990836</v>
      </c>
      <c r="U99" s="55">
        <v>1990836</v>
      </c>
      <c r="V99" s="55">
        <f t="shared" si="36"/>
        <v>1990836</v>
      </c>
      <c r="W99" s="47">
        <f t="shared" si="33"/>
        <v>1990836</v>
      </c>
      <c r="X99" s="47">
        <f t="shared" si="37"/>
        <v>1990836</v>
      </c>
      <c r="Y99" s="47">
        <f t="shared" si="34"/>
        <v>1990836</v>
      </c>
      <c r="Z99" s="88">
        <f t="shared" si="38"/>
        <v>1990836</v>
      </c>
    </row>
    <row r="100" spans="1:26" ht="43.5" customHeight="1">
      <c r="A100" s="197" t="s">
        <v>38</v>
      </c>
      <c r="B100" s="848"/>
      <c r="C100" s="848"/>
      <c r="D100" s="848"/>
      <c r="E100" s="848"/>
      <c r="F100" s="848"/>
      <c r="G100" s="848"/>
      <c r="H100" s="848"/>
      <c r="I100" s="848"/>
      <c r="J100" s="56">
        <v>254392.75</v>
      </c>
      <c r="K100" s="198">
        <v>668950</v>
      </c>
      <c r="L100" s="199"/>
      <c r="M100" s="1000"/>
      <c r="N100" s="597"/>
      <c r="O100" s="29">
        <v>2653</v>
      </c>
      <c r="P100" s="29">
        <f t="shared" si="35"/>
        <v>251.46</v>
      </c>
      <c r="Q100" s="29">
        <v>667115.3</v>
      </c>
      <c r="R100" s="57">
        <v>667115.3</v>
      </c>
      <c r="S100" s="57">
        <v>667115.3</v>
      </c>
      <c r="T100" s="57">
        <v>667115.3</v>
      </c>
      <c r="U100" s="55">
        <v>667115.3</v>
      </c>
      <c r="V100" s="55">
        <f t="shared" si="36"/>
        <v>667115.3</v>
      </c>
      <c r="W100" s="47">
        <f t="shared" si="33"/>
        <v>667115.3</v>
      </c>
      <c r="X100" s="47">
        <f t="shared" si="37"/>
        <v>667115.3</v>
      </c>
      <c r="Y100" s="47">
        <f t="shared" si="34"/>
        <v>667115.3</v>
      </c>
      <c r="Z100" s="88">
        <f t="shared" si="38"/>
        <v>667115.3</v>
      </c>
    </row>
    <row r="101" spans="1:26" ht="44.25" customHeight="1">
      <c r="A101" s="197" t="s">
        <v>40</v>
      </c>
      <c r="B101" s="848"/>
      <c r="C101" s="848"/>
      <c r="D101" s="848"/>
      <c r="E101" s="848"/>
      <c r="F101" s="848"/>
      <c r="G101" s="848"/>
      <c r="H101" s="848"/>
      <c r="I101" s="848"/>
      <c r="J101" s="56">
        <v>69777.32</v>
      </c>
      <c r="K101" s="198">
        <v>271450</v>
      </c>
      <c r="L101" s="199"/>
      <c r="M101" s="1000"/>
      <c r="N101" s="598"/>
      <c r="O101" s="29">
        <v>696</v>
      </c>
      <c r="P101" s="29">
        <f t="shared" si="35"/>
        <v>404.49</v>
      </c>
      <c r="Q101" s="29">
        <v>281527.9</v>
      </c>
      <c r="R101" s="57">
        <v>281527.9</v>
      </c>
      <c r="S101" s="57">
        <v>281527.9</v>
      </c>
      <c r="T101" s="57">
        <v>281527.9</v>
      </c>
      <c r="U101" s="55">
        <v>281527.9</v>
      </c>
      <c r="V101" s="55">
        <f t="shared" si="36"/>
        <v>281527.9</v>
      </c>
      <c r="W101" s="47">
        <f t="shared" si="33"/>
        <v>281527.9</v>
      </c>
      <c r="X101" s="47">
        <f t="shared" si="37"/>
        <v>281527.9</v>
      </c>
      <c r="Y101" s="47">
        <f t="shared" si="34"/>
        <v>281527.9</v>
      </c>
      <c r="Z101" s="88">
        <f t="shared" si="38"/>
        <v>281527.9</v>
      </c>
    </row>
    <row r="102" spans="1:26" ht="63.75" customHeight="1">
      <c r="A102" s="197" t="s">
        <v>41</v>
      </c>
      <c r="B102" s="848"/>
      <c r="C102" s="848"/>
      <c r="D102" s="848"/>
      <c r="E102" s="848"/>
      <c r="F102" s="848"/>
      <c r="G102" s="848"/>
      <c r="H102" s="848"/>
      <c r="I102" s="848"/>
      <c r="J102" s="56">
        <v>134276.66</v>
      </c>
      <c r="K102" s="198">
        <v>767700</v>
      </c>
      <c r="L102" s="199"/>
      <c r="M102" s="1000"/>
      <c r="N102" s="597"/>
      <c r="O102" s="29">
        <v>2800</v>
      </c>
      <c r="P102" s="29">
        <f t="shared" si="35"/>
        <v>227.94</v>
      </c>
      <c r="Q102" s="29">
        <v>638230.7</v>
      </c>
      <c r="R102" s="57">
        <v>638230.7</v>
      </c>
      <c r="S102" s="57">
        <v>638230.7</v>
      </c>
      <c r="T102" s="57">
        <v>638230.7</v>
      </c>
      <c r="U102" s="55">
        <v>638230.7</v>
      </c>
      <c r="V102" s="55">
        <f t="shared" si="36"/>
        <v>638230.7</v>
      </c>
      <c r="W102" s="47">
        <f t="shared" si="33"/>
        <v>638230.7</v>
      </c>
      <c r="X102" s="47">
        <f t="shared" si="37"/>
        <v>638230.7</v>
      </c>
      <c r="Y102" s="47">
        <f t="shared" si="34"/>
        <v>638230.7</v>
      </c>
      <c r="Z102" s="88">
        <f t="shared" si="38"/>
        <v>638230.7</v>
      </c>
    </row>
    <row r="103" spans="1:26" ht="46.5" customHeight="1">
      <c r="A103" s="197" t="s">
        <v>42</v>
      </c>
      <c r="B103" s="848"/>
      <c r="C103" s="848"/>
      <c r="D103" s="848"/>
      <c r="E103" s="848"/>
      <c r="F103" s="848"/>
      <c r="G103" s="848"/>
      <c r="H103" s="848"/>
      <c r="I103" s="848"/>
      <c r="J103" s="56">
        <v>108008.84</v>
      </c>
      <c r="K103" s="198">
        <v>457350</v>
      </c>
      <c r="L103" s="199"/>
      <c r="M103" s="1000"/>
      <c r="N103" s="597"/>
      <c r="O103" s="29">
        <v>1386</v>
      </c>
      <c r="P103" s="29">
        <f t="shared" si="35"/>
        <v>325.36</v>
      </c>
      <c r="Q103" s="29">
        <v>450943</v>
      </c>
      <c r="R103" s="29">
        <v>450943</v>
      </c>
      <c r="S103" s="29">
        <v>450943</v>
      </c>
      <c r="T103" s="29">
        <v>450943</v>
      </c>
      <c r="U103" s="75">
        <v>450943</v>
      </c>
      <c r="V103" s="55">
        <f t="shared" si="36"/>
        <v>450943</v>
      </c>
      <c r="W103" s="47">
        <f t="shared" si="33"/>
        <v>450943</v>
      </c>
      <c r="X103" s="47">
        <f t="shared" si="37"/>
        <v>450943</v>
      </c>
      <c r="Y103" s="47">
        <f t="shared" si="34"/>
        <v>450943</v>
      </c>
      <c r="Z103" s="88">
        <f t="shared" si="38"/>
        <v>450943</v>
      </c>
    </row>
    <row r="104" spans="1:26" ht="65.25" customHeight="1">
      <c r="A104" s="197" t="s">
        <v>45</v>
      </c>
      <c r="B104" s="848"/>
      <c r="C104" s="848"/>
      <c r="D104" s="848"/>
      <c r="E104" s="848"/>
      <c r="F104" s="848"/>
      <c r="G104" s="848"/>
      <c r="H104" s="848"/>
      <c r="I104" s="848"/>
      <c r="J104" s="56">
        <v>140900</v>
      </c>
      <c r="K104" s="198">
        <v>350450</v>
      </c>
      <c r="L104" s="199"/>
      <c r="M104" s="1000"/>
      <c r="N104" s="597"/>
      <c r="O104" s="29">
        <v>1032</v>
      </c>
      <c r="P104" s="29">
        <f t="shared" si="35"/>
        <v>397.8</v>
      </c>
      <c r="Q104" s="29">
        <v>410525.3</v>
      </c>
      <c r="R104" s="57">
        <v>410525.3</v>
      </c>
      <c r="S104" s="57">
        <v>410525.3</v>
      </c>
      <c r="T104" s="57">
        <v>410525.3</v>
      </c>
      <c r="U104" s="55">
        <v>410525.3</v>
      </c>
      <c r="V104" s="55">
        <f t="shared" si="36"/>
        <v>410525.3</v>
      </c>
      <c r="W104" s="47">
        <f t="shared" si="33"/>
        <v>410525.3</v>
      </c>
      <c r="X104" s="47">
        <f t="shared" si="37"/>
        <v>410525.3</v>
      </c>
      <c r="Y104" s="47">
        <f t="shared" si="34"/>
        <v>410525.3</v>
      </c>
      <c r="Z104" s="88">
        <f t="shared" si="38"/>
        <v>410525.3</v>
      </c>
    </row>
    <row r="105" spans="1:26" ht="66.75" customHeight="1">
      <c r="A105" s="197" t="s">
        <v>58</v>
      </c>
      <c r="B105" s="848"/>
      <c r="C105" s="848"/>
      <c r="D105" s="848"/>
      <c r="E105" s="848"/>
      <c r="F105" s="848"/>
      <c r="G105" s="848"/>
      <c r="H105" s="848"/>
      <c r="I105" s="848"/>
      <c r="J105" s="56">
        <v>208598.92</v>
      </c>
      <c r="K105" s="198">
        <v>467650</v>
      </c>
      <c r="L105" s="199"/>
      <c r="M105" s="1000"/>
      <c r="N105" s="598"/>
      <c r="O105" s="29">
        <v>232</v>
      </c>
      <c r="P105" s="29">
        <f t="shared" si="35"/>
        <v>1424.86</v>
      </c>
      <c r="Q105" s="29">
        <v>330568.3</v>
      </c>
      <c r="R105" s="57">
        <v>330568.3</v>
      </c>
      <c r="S105" s="57">
        <v>330568.3</v>
      </c>
      <c r="T105" s="57">
        <v>330568.3</v>
      </c>
      <c r="U105" s="55">
        <v>330568.3</v>
      </c>
      <c r="V105" s="55">
        <f t="shared" si="36"/>
        <v>330568.3</v>
      </c>
      <c r="W105" s="47">
        <f t="shared" si="33"/>
        <v>330568.3</v>
      </c>
      <c r="X105" s="47">
        <f t="shared" si="37"/>
        <v>330568.3</v>
      </c>
      <c r="Y105" s="47">
        <f t="shared" si="34"/>
        <v>330568.3</v>
      </c>
      <c r="Z105" s="88">
        <f t="shared" si="38"/>
        <v>330568.3</v>
      </c>
    </row>
    <row r="106" spans="1:26" ht="42" customHeight="1">
      <c r="A106" s="197" t="s">
        <v>50</v>
      </c>
      <c r="B106" s="848"/>
      <c r="C106" s="848"/>
      <c r="D106" s="848"/>
      <c r="E106" s="848"/>
      <c r="F106" s="848"/>
      <c r="G106" s="848"/>
      <c r="H106" s="848"/>
      <c r="I106" s="848"/>
      <c r="J106" s="56">
        <v>154908.1</v>
      </c>
      <c r="K106" s="198">
        <v>3250600</v>
      </c>
      <c r="L106" s="199"/>
      <c r="M106" s="1000"/>
      <c r="N106" s="597"/>
      <c r="O106" s="29">
        <v>1080</v>
      </c>
      <c r="P106" s="29">
        <f t="shared" si="35"/>
        <v>1734.74</v>
      </c>
      <c r="Q106" s="29">
        <v>1873520</v>
      </c>
      <c r="R106" s="57">
        <v>1873520</v>
      </c>
      <c r="S106" s="57">
        <v>1873520</v>
      </c>
      <c r="T106" s="57">
        <v>1873520</v>
      </c>
      <c r="U106" s="55">
        <v>1873520</v>
      </c>
      <c r="V106" s="55">
        <f t="shared" si="36"/>
        <v>1873520</v>
      </c>
      <c r="W106" s="47">
        <f t="shared" si="33"/>
        <v>1873520</v>
      </c>
      <c r="X106" s="47">
        <f t="shared" si="37"/>
        <v>1873520</v>
      </c>
      <c r="Y106" s="47">
        <f t="shared" si="34"/>
        <v>1873520</v>
      </c>
      <c r="Z106" s="88">
        <f t="shared" si="38"/>
        <v>1873520</v>
      </c>
    </row>
    <row r="107" spans="1:26" ht="43.5" customHeight="1">
      <c r="A107" s="197" t="s">
        <v>49</v>
      </c>
      <c r="B107" s="848"/>
      <c r="C107" s="848"/>
      <c r="D107" s="848"/>
      <c r="E107" s="848"/>
      <c r="F107" s="848"/>
      <c r="G107" s="848"/>
      <c r="H107" s="848"/>
      <c r="I107" s="848"/>
      <c r="J107" s="56">
        <v>195282</v>
      </c>
      <c r="K107" s="198">
        <v>2513600</v>
      </c>
      <c r="L107" s="199"/>
      <c r="M107" s="1000"/>
      <c r="N107" s="597"/>
      <c r="O107" s="29">
        <v>3396</v>
      </c>
      <c r="P107" s="29">
        <f t="shared" si="35"/>
        <v>1871.02</v>
      </c>
      <c r="Q107" s="57">
        <v>6354000</v>
      </c>
      <c r="R107" s="57">
        <v>6354000</v>
      </c>
      <c r="S107" s="57">
        <v>6354000</v>
      </c>
      <c r="T107" s="57">
        <v>6354000</v>
      </c>
      <c r="U107" s="55">
        <v>6354000</v>
      </c>
      <c r="V107" s="55">
        <f t="shared" si="36"/>
        <v>6354000</v>
      </c>
      <c r="W107" s="47">
        <f t="shared" si="33"/>
        <v>6354000</v>
      </c>
      <c r="X107" s="47">
        <f t="shared" si="37"/>
        <v>6354000</v>
      </c>
      <c r="Y107" s="47">
        <f t="shared" si="34"/>
        <v>6354000</v>
      </c>
      <c r="Z107" s="88">
        <f t="shared" si="38"/>
        <v>6354000</v>
      </c>
    </row>
    <row r="108" spans="1:26" ht="43.5" customHeight="1">
      <c r="A108" s="197" t="s">
        <v>51</v>
      </c>
      <c r="B108" s="848"/>
      <c r="C108" s="848"/>
      <c r="D108" s="848"/>
      <c r="E108" s="848"/>
      <c r="F108" s="848"/>
      <c r="G108" s="848"/>
      <c r="H108" s="848"/>
      <c r="I108" s="848"/>
      <c r="J108" s="56">
        <v>134362</v>
      </c>
      <c r="K108" s="198">
        <v>4375950</v>
      </c>
      <c r="L108" s="164"/>
      <c r="M108" s="1000"/>
      <c r="N108" s="591"/>
      <c r="O108" s="29">
        <v>389</v>
      </c>
      <c r="P108" s="29">
        <f t="shared" si="35"/>
        <v>2340.06</v>
      </c>
      <c r="Q108" s="29">
        <v>910285.2</v>
      </c>
      <c r="R108" s="29">
        <v>910285.2</v>
      </c>
      <c r="S108" s="29">
        <v>910285.2</v>
      </c>
      <c r="T108" s="29">
        <v>910285.2</v>
      </c>
      <c r="U108" s="75">
        <v>910285.2</v>
      </c>
      <c r="V108" s="55">
        <f t="shared" si="36"/>
        <v>910285.2</v>
      </c>
      <c r="W108" s="47">
        <f t="shared" si="33"/>
        <v>910285.2</v>
      </c>
      <c r="X108" s="47">
        <f t="shared" si="37"/>
        <v>910285.2</v>
      </c>
      <c r="Y108" s="47">
        <f t="shared" si="34"/>
        <v>910285.2</v>
      </c>
      <c r="Z108" s="88">
        <f t="shared" si="38"/>
        <v>910285.2</v>
      </c>
    </row>
    <row r="109" spans="1:26" ht="62.25" customHeight="1">
      <c r="A109" s="197" t="s">
        <v>59</v>
      </c>
      <c r="B109" s="848"/>
      <c r="C109" s="848"/>
      <c r="D109" s="848"/>
      <c r="E109" s="848"/>
      <c r="F109" s="848"/>
      <c r="G109" s="848"/>
      <c r="H109" s="848"/>
      <c r="I109" s="848"/>
      <c r="J109" s="56"/>
      <c r="K109" s="198">
        <v>8983974.86</v>
      </c>
      <c r="L109" s="199"/>
      <c r="M109" s="1001"/>
      <c r="N109" s="598"/>
      <c r="O109" s="29"/>
      <c r="P109" s="29"/>
      <c r="Q109" s="29"/>
      <c r="R109" s="57"/>
      <c r="S109" s="57"/>
      <c r="T109" s="57"/>
      <c r="U109" s="47">
        <f>1301795+1500000</f>
        <v>2801795</v>
      </c>
      <c r="V109" s="55">
        <f t="shared" si="36"/>
        <v>2801795</v>
      </c>
      <c r="W109" s="47">
        <v>242195</v>
      </c>
      <c r="X109" s="47">
        <v>242195</v>
      </c>
      <c r="Y109" s="47">
        <v>781795</v>
      </c>
      <c r="Z109" s="47">
        <v>781795</v>
      </c>
    </row>
    <row r="110" spans="1:26" ht="287.25" customHeight="1">
      <c r="A110" s="201" t="s">
        <v>699</v>
      </c>
      <c r="B110" s="746" t="s">
        <v>6</v>
      </c>
      <c r="C110" s="746" t="s">
        <v>20</v>
      </c>
      <c r="D110" s="746" t="s">
        <v>458</v>
      </c>
      <c r="E110" s="746" t="s">
        <v>8</v>
      </c>
      <c r="F110" s="746" t="s">
        <v>462</v>
      </c>
      <c r="G110" s="746" t="s">
        <v>480</v>
      </c>
      <c r="H110" s="746" t="s">
        <v>9</v>
      </c>
      <c r="I110" s="166" t="s">
        <v>460</v>
      </c>
      <c r="J110" s="92">
        <f>SUM(J111:J139)</f>
        <v>1371105.53</v>
      </c>
      <c r="K110" s="92">
        <f>SUM(K111:K139)</f>
        <v>1934039.23</v>
      </c>
      <c r="L110" s="202" t="s">
        <v>19</v>
      </c>
      <c r="M110" s="203"/>
      <c r="N110" s="596"/>
      <c r="O110" s="204"/>
      <c r="P110" s="204"/>
      <c r="Q110" s="92">
        <f aca="true" t="shared" si="39" ref="Q110:Z110">SUM(Q111:Q139)</f>
        <v>2700765.9999999995</v>
      </c>
      <c r="R110" s="92">
        <f t="shared" si="39"/>
        <v>2700765.9999999995</v>
      </c>
      <c r="S110" s="92">
        <f t="shared" si="39"/>
        <v>2700765.9999999995</v>
      </c>
      <c r="T110" s="92">
        <f t="shared" si="39"/>
        <v>2700765.9999999995</v>
      </c>
      <c r="U110" s="92">
        <f t="shared" si="39"/>
        <v>2700766</v>
      </c>
      <c r="V110" s="92">
        <f t="shared" si="39"/>
        <v>2700766</v>
      </c>
      <c r="W110" s="92">
        <f t="shared" si="39"/>
        <v>1934039</v>
      </c>
      <c r="X110" s="92">
        <f t="shared" si="39"/>
        <v>1934039</v>
      </c>
      <c r="Y110" s="92">
        <f t="shared" si="39"/>
        <v>1934039</v>
      </c>
      <c r="Z110" s="92">
        <f t="shared" si="39"/>
        <v>1934039</v>
      </c>
    </row>
    <row r="111" spans="1:26" ht="45.75" customHeight="1">
      <c r="A111" s="205" t="s">
        <v>53</v>
      </c>
      <c r="B111" s="981"/>
      <c r="C111" s="981"/>
      <c r="D111" s="981"/>
      <c r="E111" s="981"/>
      <c r="F111" s="981"/>
      <c r="G111" s="981"/>
      <c r="H111" s="981"/>
      <c r="I111" s="982" t="s">
        <v>686</v>
      </c>
      <c r="J111" s="35">
        <v>29443.52</v>
      </c>
      <c r="K111" s="58">
        <v>44165.28</v>
      </c>
      <c r="L111" s="59"/>
      <c r="M111" s="983"/>
      <c r="N111" s="597"/>
      <c r="O111" s="53">
        <v>12</v>
      </c>
      <c r="P111" s="29">
        <f aca="true" t="shared" si="40" ref="P111:P139">ROUND(Q111/O111,2)</f>
        <v>3680.44</v>
      </c>
      <c r="Q111" s="53">
        <v>44165.28</v>
      </c>
      <c r="R111" s="60">
        <v>44165.28</v>
      </c>
      <c r="S111" s="60">
        <v>44165.28</v>
      </c>
      <c r="T111" s="60">
        <v>44165.28</v>
      </c>
      <c r="U111" s="75">
        <v>44165</v>
      </c>
      <c r="V111" s="75">
        <f>U111</f>
        <v>44165</v>
      </c>
      <c r="W111" s="55">
        <v>31647</v>
      </c>
      <c r="X111" s="55">
        <f>W111</f>
        <v>31647</v>
      </c>
      <c r="Y111" s="55">
        <f>W111</f>
        <v>31647</v>
      </c>
      <c r="Z111" s="88">
        <f>Y111</f>
        <v>31647</v>
      </c>
    </row>
    <row r="112" spans="1:26" ht="40.5" customHeight="1">
      <c r="A112" s="197" t="s">
        <v>25</v>
      </c>
      <c r="B112" s="981"/>
      <c r="C112" s="981"/>
      <c r="D112" s="981"/>
      <c r="E112" s="981"/>
      <c r="F112" s="981"/>
      <c r="G112" s="981"/>
      <c r="H112" s="981"/>
      <c r="I112" s="982"/>
      <c r="J112" s="35">
        <v>0</v>
      </c>
      <c r="K112" s="58">
        <v>34176.72</v>
      </c>
      <c r="L112" s="59"/>
      <c r="M112" s="984"/>
      <c r="N112" s="597"/>
      <c r="O112" s="53">
        <v>12</v>
      </c>
      <c r="P112" s="29">
        <f t="shared" si="40"/>
        <v>2841.67</v>
      </c>
      <c r="Q112" s="53">
        <v>34100</v>
      </c>
      <c r="R112" s="60">
        <v>34100</v>
      </c>
      <c r="S112" s="60">
        <v>34100</v>
      </c>
      <c r="T112" s="60">
        <v>34100</v>
      </c>
      <c r="U112" s="75">
        <v>34100</v>
      </c>
      <c r="V112" s="75">
        <f aca="true" t="shared" si="41" ref="V112:V139">U112</f>
        <v>34100</v>
      </c>
      <c r="W112" s="55">
        <v>24420</v>
      </c>
      <c r="X112" s="55">
        <f aca="true" t="shared" si="42" ref="X112:X139">W112</f>
        <v>24420</v>
      </c>
      <c r="Y112" s="55">
        <f>W112</f>
        <v>24420</v>
      </c>
      <c r="Z112" s="88">
        <f aca="true" t="shared" si="43" ref="Z112:Z139">Y112</f>
        <v>24420</v>
      </c>
    </row>
    <row r="113" spans="1:26" ht="48" customHeight="1">
      <c r="A113" s="197" t="s">
        <v>26</v>
      </c>
      <c r="B113" s="981"/>
      <c r="C113" s="981"/>
      <c r="D113" s="981"/>
      <c r="E113" s="981"/>
      <c r="F113" s="981"/>
      <c r="G113" s="981"/>
      <c r="H113" s="981"/>
      <c r="I113" s="982"/>
      <c r="J113" s="35">
        <v>0</v>
      </c>
      <c r="K113" s="58">
        <v>0</v>
      </c>
      <c r="L113" s="59"/>
      <c r="M113" s="984"/>
      <c r="N113" s="597"/>
      <c r="O113" s="53">
        <v>12</v>
      </c>
      <c r="P113" s="29">
        <f t="shared" si="40"/>
        <v>3033.5</v>
      </c>
      <c r="Q113" s="53">
        <v>36402</v>
      </c>
      <c r="R113" s="60">
        <v>36402</v>
      </c>
      <c r="S113" s="60">
        <v>36402</v>
      </c>
      <c r="T113" s="60">
        <v>36402</v>
      </c>
      <c r="U113" s="75">
        <v>36402</v>
      </c>
      <c r="V113" s="75">
        <f t="shared" si="41"/>
        <v>36402</v>
      </c>
      <c r="W113" s="55">
        <v>26067</v>
      </c>
      <c r="X113" s="55">
        <f t="shared" si="42"/>
        <v>26067</v>
      </c>
      <c r="Y113" s="55">
        <f aca="true" t="shared" si="44" ref="Y113:Y139">W113</f>
        <v>26067</v>
      </c>
      <c r="Z113" s="88">
        <f t="shared" si="43"/>
        <v>26067</v>
      </c>
    </row>
    <row r="114" spans="1:26" ht="61.5" customHeight="1">
      <c r="A114" s="205" t="s">
        <v>464</v>
      </c>
      <c r="B114" s="981"/>
      <c r="C114" s="981"/>
      <c r="D114" s="981"/>
      <c r="E114" s="981"/>
      <c r="F114" s="981"/>
      <c r="G114" s="981"/>
      <c r="H114" s="981"/>
      <c r="I114" s="982"/>
      <c r="J114" s="35">
        <v>45913.59</v>
      </c>
      <c r="K114" s="58">
        <v>61218.12</v>
      </c>
      <c r="L114" s="59"/>
      <c r="M114" s="984"/>
      <c r="N114" s="597"/>
      <c r="O114" s="53">
        <v>12</v>
      </c>
      <c r="P114" s="29">
        <f t="shared" si="40"/>
        <v>53457.43</v>
      </c>
      <c r="Q114" s="53">
        <v>641489.2</v>
      </c>
      <c r="R114" s="60">
        <v>641489.2</v>
      </c>
      <c r="S114" s="60">
        <v>641489.2</v>
      </c>
      <c r="T114" s="60">
        <v>641489.2</v>
      </c>
      <c r="U114" s="75">
        <v>641490</v>
      </c>
      <c r="V114" s="75">
        <f t="shared" si="41"/>
        <v>641490</v>
      </c>
      <c r="W114" s="55">
        <v>459371</v>
      </c>
      <c r="X114" s="55">
        <f t="shared" si="42"/>
        <v>459371</v>
      </c>
      <c r="Y114" s="55">
        <f t="shared" si="44"/>
        <v>459371</v>
      </c>
      <c r="Z114" s="88">
        <f t="shared" si="43"/>
        <v>459371</v>
      </c>
    </row>
    <row r="115" spans="1:26" ht="45.75" customHeight="1">
      <c r="A115" s="205" t="s">
        <v>21</v>
      </c>
      <c r="B115" s="981"/>
      <c r="C115" s="981"/>
      <c r="D115" s="981"/>
      <c r="E115" s="981"/>
      <c r="F115" s="981"/>
      <c r="G115" s="981"/>
      <c r="H115" s="981"/>
      <c r="I115" s="982"/>
      <c r="J115" s="35">
        <v>210298.32</v>
      </c>
      <c r="K115" s="58">
        <v>210298.32</v>
      </c>
      <c r="L115" s="59"/>
      <c r="M115" s="984"/>
      <c r="N115" s="597"/>
      <c r="O115" s="53">
        <v>12</v>
      </c>
      <c r="P115" s="29">
        <f t="shared" si="40"/>
        <v>17524.86</v>
      </c>
      <c r="Q115" s="53">
        <v>210298.32</v>
      </c>
      <c r="R115" s="60">
        <v>210298.32</v>
      </c>
      <c r="S115" s="61">
        <v>210298.32</v>
      </c>
      <c r="T115" s="61">
        <v>210298.32</v>
      </c>
      <c r="U115" s="63">
        <v>210298</v>
      </c>
      <c r="V115" s="75">
        <f t="shared" si="41"/>
        <v>210298</v>
      </c>
      <c r="W115" s="55">
        <v>150594</v>
      </c>
      <c r="X115" s="55">
        <f t="shared" si="42"/>
        <v>150594</v>
      </c>
      <c r="Y115" s="55">
        <f t="shared" si="44"/>
        <v>150594</v>
      </c>
      <c r="Z115" s="88">
        <f t="shared" si="43"/>
        <v>150594</v>
      </c>
    </row>
    <row r="116" spans="1:26" ht="42" customHeight="1">
      <c r="A116" s="205" t="s">
        <v>22</v>
      </c>
      <c r="B116" s="981"/>
      <c r="C116" s="981"/>
      <c r="D116" s="981"/>
      <c r="E116" s="981"/>
      <c r="F116" s="981"/>
      <c r="G116" s="981"/>
      <c r="H116" s="981"/>
      <c r="I116" s="982"/>
      <c r="J116" s="35">
        <v>174103.65</v>
      </c>
      <c r="K116" s="58">
        <v>232138.2</v>
      </c>
      <c r="L116" s="206"/>
      <c r="M116" s="984"/>
      <c r="N116" s="597"/>
      <c r="O116" s="53">
        <v>12</v>
      </c>
      <c r="P116" s="29">
        <f t="shared" si="40"/>
        <v>19583.33</v>
      </c>
      <c r="Q116" s="53">
        <v>235000</v>
      </c>
      <c r="R116" s="60">
        <v>235000</v>
      </c>
      <c r="S116" s="61">
        <v>235000</v>
      </c>
      <c r="T116" s="61">
        <v>235000</v>
      </c>
      <c r="U116" s="63">
        <v>235000</v>
      </c>
      <c r="V116" s="75">
        <f t="shared" si="41"/>
        <v>235000</v>
      </c>
      <c r="W116" s="55">
        <v>168283</v>
      </c>
      <c r="X116" s="55">
        <f t="shared" si="42"/>
        <v>168283</v>
      </c>
      <c r="Y116" s="55">
        <f t="shared" si="44"/>
        <v>168283</v>
      </c>
      <c r="Z116" s="88">
        <f t="shared" si="43"/>
        <v>168283</v>
      </c>
    </row>
    <row r="117" spans="1:26" ht="48" customHeight="1">
      <c r="A117" s="205" t="s">
        <v>23</v>
      </c>
      <c r="B117" s="981"/>
      <c r="C117" s="981"/>
      <c r="D117" s="981"/>
      <c r="E117" s="981"/>
      <c r="F117" s="981"/>
      <c r="G117" s="981"/>
      <c r="H117" s="981"/>
      <c r="I117" s="982"/>
      <c r="J117" s="35">
        <v>174682.44</v>
      </c>
      <c r="K117" s="58">
        <v>174682.52</v>
      </c>
      <c r="L117" s="206"/>
      <c r="M117" s="984"/>
      <c r="N117" s="597"/>
      <c r="O117" s="53">
        <v>12</v>
      </c>
      <c r="P117" s="29">
        <f t="shared" si="40"/>
        <v>16012.52</v>
      </c>
      <c r="Q117" s="60">
        <v>192150.27</v>
      </c>
      <c r="R117" s="60">
        <v>192150.27</v>
      </c>
      <c r="S117" s="60">
        <v>192150.27</v>
      </c>
      <c r="T117" s="60">
        <v>192150.27</v>
      </c>
      <c r="U117" s="75">
        <v>192150</v>
      </c>
      <c r="V117" s="75">
        <f t="shared" si="41"/>
        <v>192150</v>
      </c>
      <c r="W117" s="55">
        <v>137599</v>
      </c>
      <c r="X117" s="55">
        <f t="shared" si="42"/>
        <v>137599</v>
      </c>
      <c r="Y117" s="55">
        <f t="shared" si="44"/>
        <v>137599</v>
      </c>
      <c r="Z117" s="88">
        <f t="shared" si="43"/>
        <v>137599</v>
      </c>
    </row>
    <row r="118" spans="1:26" ht="42" customHeight="1">
      <c r="A118" s="205" t="s">
        <v>54</v>
      </c>
      <c r="B118" s="981"/>
      <c r="C118" s="981"/>
      <c r="D118" s="981"/>
      <c r="E118" s="981"/>
      <c r="F118" s="981"/>
      <c r="G118" s="981"/>
      <c r="H118" s="981"/>
      <c r="I118" s="982"/>
      <c r="J118" s="35">
        <v>2848.06</v>
      </c>
      <c r="K118" s="58">
        <v>34176.72</v>
      </c>
      <c r="L118" s="206"/>
      <c r="M118" s="984"/>
      <c r="N118" s="597"/>
      <c r="O118" s="53">
        <v>12</v>
      </c>
      <c r="P118" s="29">
        <f t="shared" si="40"/>
        <v>2848.06</v>
      </c>
      <c r="Q118" s="53">
        <v>34176.7</v>
      </c>
      <c r="R118" s="60">
        <v>34176.7</v>
      </c>
      <c r="S118" s="61">
        <v>34176.7</v>
      </c>
      <c r="T118" s="61">
        <v>34176.7</v>
      </c>
      <c r="U118" s="63">
        <v>34177</v>
      </c>
      <c r="V118" s="75">
        <f t="shared" si="41"/>
        <v>34177</v>
      </c>
      <c r="W118" s="55">
        <v>24474</v>
      </c>
      <c r="X118" s="55">
        <f t="shared" si="42"/>
        <v>24474</v>
      </c>
      <c r="Y118" s="55">
        <f t="shared" si="44"/>
        <v>24474</v>
      </c>
      <c r="Z118" s="88">
        <f t="shared" si="43"/>
        <v>24474</v>
      </c>
    </row>
    <row r="119" spans="1:26" ht="63" customHeight="1">
      <c r="A119" s="205" t="s">
        <v>30</v>
      </c>
      <c r="B119" s="981"/>
      <c r="C119" s="981"/>
      <c r="D119" s="981"/>
      <c r="E119" s="981"/>
      <c r="F119" s="981"/>
      <c r="G119" s="981"/>
      <c r="H119" s="981"/>
      <c r="I119" s="982"/>
      <c r="J119" s="35">
        <v>0</v>
      </c>
      <c r="K119" s="58">
        <v>25694.4</v>
      </c>
      <c r="L119" s="59"/>
      <c r="M119" s="984"/>
      <c r="N119" s="597"/>
      <c r="O119" s="53">
        <v>12</v>
      </c>
      <c r="P119" s="29">
        <f t="shared" si="40"/>
        <v>2141.2</v>
      </c>
      <c r="Q119" s="53">
        <v>25694.4</v>
      </c>
      <c r="R119" s="60">
        <v>25694.4</v>
      </c>
      <c r="S119" s="60">
        <v>25694.4</v>
      </c>
      <c r="T119" s="60">
        <v>25694.4</v>
      </c>
      <c r="U119" s="75">
        <v>25694</v>
      </c>
      <c r="V119" s="75">
        <f t="shared" si="41"/>
        <v>25694</v>
      </c>
      <c r="W119" s="55">
        <v>18400</v>
      </c>
      <c r="X119" s="55">
        <f t="shared" si="42"/>
        <v>18400</v>
      </c>
      <c r="Y119" s="55">
        <f t="shared" si="44"/>
        <v>18400</v>
      </c>
      <c r="Z119" s="88">
        <f t="shared" si="43"/>
        <v>18400</v>
      </c>
    </row>
    <row r="120" spans="1:26" ht="45" customHeight="1">
      <c r="A120" s="205" t="s">
        <v>31</v>
      </c>
      <c r="B120" s="981"/>
      <c r="C120" s="981"/>
      <c r="D120" s="981"/>
      <c r="E120" s="981"/>
      <c r="F120" s="981"/>
      <c r="G120" s="981"/>
      <c r="H120" s="981"/>
      <c r="I120" s="982"/>
      <c r="J120" s="35">
        <v>10713.5</v>
      </c>
      <c r="K120" s="58">
        <v>10713.36</v>
      </c>
      <c r="L120" s="24"/>
      <c r="M120" s="984"/>
      <c r="N120" s="597"/>
      <c r="O120" s="53">
        <v>12</v>
      </c>
      <c r="P120" s="29">
        <f t="shared" si="40"/>
        <v>892.78</v>
      </c>
      <c r="Q120" s="53">
        <v>10713.36</v>
      </c>
      <c r="R120" s="60">
        <v>10713.36</v>
      </c>
      <c r="S120" s="60">
        <v>10713.36</v>
      </c>
      <c r="T120" s="60">
        <v>10713.36</v>
      </c>
      <c r="U120" s="75">
        <v>10713</v>
      </c>
      <c r="V120" s="75">
        <f t="shared" si="41"/>
        <v>10713</v>
      </c>
      <c r="W120" s="55">
        <v>7672</v>
      </c>
      <c r="X120" s="55">
        <f t="shared" si="42"/>
        <v>7672</v>
      </c>
      <c r="Y120" s="55">
        <f t="shared" si="44"/>
        <v>7672</v>
      </c>
      <c r="Z120" s="88">
        <f t="shared" si="43"/>
        <v>7672</v>
      </c>
    </row>
    <row r="121" spans="1:26" ht="63.75" customHeight="1">
      <c r="A121" s="205" t="s">
        <v>55</v>
      </c>
      <c r="B121" s="981"/>
      <c r="C121" s="981"/>
      <c r="D121" s="981"/>
      <c r="E121" s="981"/>
      <c r="F121" s="981"/>
      <c r="G121" s="981"/>
      <c r="H121" s="981"/>
      <c r="I121" s="982"/>
      <c r="J121" s="35">
        <v>2848.07</v>
      </c>
      <c r="K121" s="58">
        <v>34176.84</v>
      </c>
      <c r="L121" s="206"/>
      <c r="M121" s="984"/>
      <c r="N121" s="597"/>
      <c r="O121" s="53">
        <v>12</v>
      </c>
      <c r="P121" s="29">
        <f t="shared" si="40"/>
        <v>2820.22</v>
      </c>
      <c r="Q121" s="53">
        <v>33842.64</v>
      </c>
      <c r="R121" s="60">
        <v>33842.64</v>
      </c>
      <c r="S121" s="61">
        <v>33842.64</v>
      </c>
      <c r="T121" s="61">
        <v>33842.64</v>
      </c>
      <c r="U121" s="63">
        <v>33843</v>
      </c>
      <c r="V121" s="75">
        <f t="shared" si="41"/>
        <v>33843</v>
      </c>
      <c r="W121" s="55">
        <v>24235</v>
      </c>
      <c r="X121" s="55">
        <f t="shared" si="42"/>
        <v>24235</v>
      </c>
      <c r="Y121" s="55">
        <f t="shared" si="44"/>
        <v>24235</v>
      </c>
      <c r="Z121" s="88">
        <f t="shared" si="43"/>
        <v>24235</v>
      </c>
    </row>
    <row r="122" spans="1:26" ht="63" customHeight="1">
      <c r="A122" s="205" t="s">
        <v>33</v>
      </c>
      <c r="B122" s="981"/>
      <c r="C122" s="981"/>
      <c r="D122" s="981"/>
      <c r="E122" s="981"/>
      <c r="F122" s="981"/>
      <c r="G122" s="981"/>
      <c r="H122" s="981"/>
      <c r="I122" s="982"/>
      <c r="J122" s="35">
        <v>3138.58</v>
      </c>
      <c r="K122" s="58">
        <v>18831.48</v>
      </c>
      <c r="L122" s="62"/>
      <c r="M122" s="984"/>
      <c r="N122" s="597"/>
      <c r="O122" s="53">
        <v>12</v>
      </c>
      <c r="P122" s="29">
        <f t="shared" si="40"/>
        <v>1569.29</v>
      </c>
      <c r="Q122" s="53">
        <v>18831.48</v>
      </c>
      <c r="R122" s="60">
        <v>18831.48</v>
      </c>
      <c r="S122" s="61">
        <v>18831.48</v>
      </c>
      <c r="T122" s="61">
        <v>18831.48</v>
      </c>
      <c r="U122" s="63">
        <v>18832</v>
      </c>
      <c r="V122" s="75">
        <f t="shared" si="41"/>
        <v>18832</v>
      </c>
      <c r="W122" s="55">
        <v>13485</v>
      </c>
      <c r="X122" s="55">
        <f t="shared" si="42"/>
        <v>13485</v>
      </c>
      <c r="Y122" s="55">
        <f t="shared" si="44"/>
        <v>13485</v>
      </c>
      <c r="Z122" s="88">
        <f t="shared" si="43"/>
        <v>13485</v>
      </c>
    </row>
    <row r="123" spans="1:26" ht="72" customHeight="1">
      <c r="A123" s="205" t="s">
        <v>34</v>
      </c>
      <c r="B123" s="981"/>
      <c r="C123" s="981"/>
      <c r="D123" s="981"/>
      <c r="E123" s="981"/>
      <c r="F123" s="981"/>
      <c r="G123" s="981"/>
      <c r="H123" s="981"/>
      <c r="I123" s="982"/>
      <c r="J123" s="35">
        <v>6548.4</v>
      </c>
      <c r="K123" s="58">
        <v>6548.4</v>
      </c>
      <c r="L123" s="59"/>
      <c r="M123" s="984"/>
      <c r="N123" s="597"/>
      <c r="O123" s="53">
        <v>12</v>
      </c>
      <c r="P123" s="29">
        <f t="shared" si="40"/>
        <v>545.7</v>
      </c>
      <c r="Q123" s="53">
        <v>6548.4</v>
      </c>
      <c r="R123" s="60">
        <v>6548.4</v>
      </c>
      <c r="S123" s="60">
        <v>6548.4</v>
      </c>
      <c r="T123" s="60">
        <v>6548.4</v>
      </c>
      <c r="U123" s="75">
        <v>6548</v>
      </c>
      <c r="V123" s="75">
        <f t="shared" si="41"/>
        <v>6548</v>
      </c>
      <c r="W123" s="55">
        <v>4689</v>
      </c>
      <c r="X123" s="55">
        <f t="shared" si="42"/>
        <v>4689</v>
      </c>
      <c r="Y123" s="55">
        <f t="shared" si="44"/>
        <v>4689</v>
      </c>
      <c r="Z123" s="88">
        <f t="shared" si="43"/>
        <v>4689</v>
      </c>
    </row>
    <row r="124" spans="1:26" ht="40.5">
      <c r="A124" s="205" t="s">
        <v>39</v>
      </c>
      <c r="B124" s="981"/>
      <c r="C124" s="981"/>
      <c r="D124" s="981"/>
      <c r="E124" s="981"/>
      <c r="F124" s="981"/>
      <c r="G124" s="981"/>
      <c r="H124" s="981"/>
      <c r="I124" s="982"/>
      <c r="J124" s="63">
        <v>237874.56</v>
      </c>
      <c r="K124" s="58">
        <v>237874.56</v>
      </c>
      <c r="L124" s="59"/>
      <c r="M124" s="984"/>
      <c r="N124" s="597"/>
      <c r="O124" s="64">
        <v>12</v>
      </c>
      <c r="P124" s="29">
        <f t="shared" si="40"/>
        <v>19822.88</v>
      </c>
      <c r="Q124" s="64">
        <v>237874.56</v>
      </c>
      <c r="R124" s="61">
        <v>237874.56</v>
      </c>
      <c r="S124" s="61">
        <v>237874.56</v>
      </c>
      <c r="T124" s="61">
        <v>237874.56</v>
      </c>
      <c r="U124" s="63">
        <v>237875</v>
      </c>
      <c r="V124" s="75">
        <f t="shared" si="41"/>
        <v>237875</v>
      </c>
      <c r="W124" s="55">
        <v>170342</v>
      </c>
      <c r="X124" s="55">
        <f t="shared" si="42"/>
        <v>170342</v>
      </c>
      <c r="Y124" s="55">
        <f t="shared" si="44"/>
        <v>170342</v>
      </c>
      <c r="Z124" s="88">
        <f t="shared" si="43"/>
        <v>170342</v>
      </c>
    </row>
    <row r="125" spans="1:26" ht="60.75" customHeight="1">
      <c r="A125" s="205" t="s">
        <v>36</v>
      </c>
      <c r="B125" s="981"/>
      <c r="C125" s="981"/>
      <c r="D125" s="981"/>
      <c r="E125" s="981"/>
      <c r="F125" s="981"/>
      <c r="G125" s="981"/>
      <c r="H125" s="981"/>
      <c r="I125" s="982"/>
      <c r="J125" s="35">
        <v>0</v>
      </c>
      <c r="K125" s="58">
        <v>33771.8</v>
      </c>
      <c r="L125" s="59"/>
      <c r="M125" s="984"/>
      <c r="N125" s="597"/>
      <c r="O125" s="53">
        <v>12</v>
      </c>
      <c r="P125" s="29">
        <f t="shared" si="40"/>
        <v>2814.32</v>
      </c>
      <c r="Q125" s="53">
        <v>33771.8</v>
      </c>
      <c r="R125" s="60">
        <v>33771.8</v>
      </c>
      <c r="S125" s="61">
        <v>33771.8</v>
      </c>
      <c r="T125" s="61">
        <v>33771.8</v>
      </c>
      <c r="U125" s="63">
        <v>33772</v>
      </c>
      <c r="V125" s="75">
        <f t="shared" si="41"/>
        <v>33772</v>
      </c>
      <c r="W125" s="55">
        <v>24184</v>
      </c>
      <c r="X125" s="55">
        <f t="shared" si="42"/>
        <v>24184</v>
      </c>
      <c r="Y125" s="55">
        <f t="shared" si="44"/>
        <v>24184</v>
      </c>
      <c r="Z125" s="88">
        <f t="shared" si="43"/>
        <v>24184</v>
      </c>
    </row>
    <row r="126" spans="1:26" ht="48.75" customHeight="1">
      <c r="A126" s="205" t="s">
        <v>48</v>
      </c>
      <c r="B126" s="981"/>
      <c r="C126" s="981"/>
      <c r="D126" s="981"/>
      <c r="E126" s="981"/>
      <c r="F126" s="981"/>
      <c r="G126" s="981"/>
      <c r="H126" s="981"/>
      <c r="I126" s="982"/>
      <c r="J126" s="35">
        <v>244872.6</v>
      </c>
      <c r="K126" s="58">
        <v>244872.6</v>
      </c>
      <c r="L126" s="70"/>
      <c r="M126" s="985"/>
      <c r="N126" s="597"/>
      <c r="O126" s="53">
        <v>12</v>
      </c>
      <c r="P126" s="29">
        <f t="shared" si="40"/>
        <v>20406.05</v>
      </c>
      <c r="Q126" s="53">
        <v>244872.6</v>
      </c>
      <c r="R126" s="60">
        <v>244872.6</v>
      </c>
      <c r="S126" s="61">
        <v>244872.6</v>
      </c>
      <c r="T126" s="61">
        <v>244872.6</v>
      </c>
      <c r="U126" s="63">
        <v>244873</v>
      </c>
      <c r="V126" s="75">
        <f t="shared" si="41"/>
        <v>244873</v>
      </c>
      <c r="W126" s="55">
        <v>175353</v>
      </c>
      <c r="X126" s="55">
        <f t="shared" si="42"/>
        <v>175353</v>
      </c>
      <c r="Y126" s="55">
        <f t="shared" si="44"/>
        <v>175353</v>
      </c>
      <c r="Z126" s="88">
        <f t="shared" si="43"/>
        <v>175353</v>
      </c>
    </row>
    <row r="127" spans="1:26" ht="64.5" customHeight="1">
      <c r="A127" s="205" t="s">
        <v>57</v>
      </c>
      <c r="B127" s="981"/>
      <c r="C127" s="981"/>
      <c r="D127" s="981"/>
      <c r="E127" s="981"/>
      <c r="F127" s="981"/>
      <c r="G127" s="981"/>
      <c r="H127" s="981"/>
      <c r="I127" s="982"/>
      <c r="J127" s="35">
        <v>50328</v>
      </c>
      <c r="K127" s="58">
        <v>50328</v>
      </c>
      <c r="L127" s="206"/>
      <c r="M127" s="986"/>
      <c r="N127" s="597"/>
      <c r="O127" s="53">
        <v>12</v>
      </c>
      <c r="P127" s="29">
        <f t="shared" si="40"/>
        <v>4194</v>
      </c>
      <c r="Q127" s="53">
        <v>50328</v>
      </c>
      <c r="R127" s="60">
        <v>50328</v>
      </c>
      <c r="S127" s="61">
        <v>50328</v>
      </c>
      <c r="T127" s="61">
        <v>50328</v>
      </c>
      <c r="U127" s="63">
        <v>50328</v>
      </c>
      <c r="V127" s="75">
        <f t="shared" si="41"/>
        <v>50328</v>
      </c>
      <c r="W127" s="55">
        <v>36040</v>
      </c>
      <c r="X127" s="55">
        <f t="shared" si="42"/>
        <v>36040</v>
      </c>
      <c r="Y127" s="55">
        <f t="shared" si="44"/>
        <v>36040</v>
      </c>
      <c r="Z127" s="88">
        <f t="shared" si="43"/>
        <v>36040</v>
      </c>
    </row>
    <row r="128" spans="1:26" ht="64.5" customHeight="1">
      <c r="A128" s="205" t="s">
        <v>37</v>
      </c>
      <c r="B128" s="981"/>
      <c r="C128" s="981"/>
      <c r="D128" s="981"/>
      <c r="E128" s="981"/>
      <c r="F128" s="981"/>
      <c r="G128" s="981"/>
      <c r="H128" s="981"/>
      <c r="I128" s="982"/>
      <c r="J128" s="35">
        <v>34084.26</v>
      </c>
      <c r="K128" s="58">
        <v>45445.63</v>
      </c>
      <c r="L128" s="206"/>
      <c r="M128" s="987"/>
      <c r="N128" s="597"/>
      <c r="O128" s="53">
        <v>12</v>
      </c>
      <c r="P128" s="29">
        <f t="shared" si="40"/>
        <v>3787.14</v>
      </c>
      <c r="Q128" s="53">
        <v>45445.63</v>
      </c>
      <c r="R128" s="60">
        <v>45445.63</v>
      </c>
      <c r="S128" s="61">
        <v>45445.63</v>
      </c>
      <c r="T128" s="61">
        <v>45445.63</v>
      </c>
      <c r="U128" s="63">
        <v>45446</v>
      </c>
      <c r="V128" s="75">
        <f t="shared" si="41"/>
        <v>45446</v>
      </c>
      <c r="W128" s="55">
        <v>32544</v>
      </c>
      <c r="X128" s="55">
        <f t="shared" si="42"/>
        <v>32544</v>
      </c>
      <c r="Y128" s="55">
        <f t="shared" si="44"/>
        <v>32544</v>
      </c>
      <c r="Z128" s="88">
        <f t="shared" si="43"/>
        <v>32544</v>
      </c>
    </row>
    <row r="129" spans="1:26" ht="78" customHeight="1">
      <c r="A129" s="197" t="s">
        <v>56</v>
      </c>
      <c r="B129" s="981"/>
      <c r="C129" s="981"/>
      <c r="D129" s="981"/>
      <c r="E129" s="981"/>
      <c r="F129" s="981"/>
      <c r="G129" s="981"/>
      <c r="H129" s="981"/>
      <c r="I129" s="982"/>
      <c r="J129" s="35"/>
      <c r="K129" s="58">
        <v>38307.36</v>
      </c>
      <c r="L129" s="206"/>
      <c r="M129" s="987"/>
      <c r="N129" s="597"/>
      <c r="O129" s="53">
        <v>12</v>
      </c>
      <c r="P129" s="29">
        <f t="shared" si="40"/>
        <v>3192.28</v>
      </c>
      <c r="Q129" s="53">
        <v>38307.4</v>
      </c>
      <c r="R129" s="60">
        <v>38307.4</v>
      </c>
      <c r="S129" s="60">
        <v>38307.4</v>
      </c>
      <c r="T129" s="60">
        <v>38307.4</v>
      </c>
      <c r="U129" s="75">
        <v>38307</v>
      </c>
      <c r="V129" s="75">
        <f t="shared" si="41"/>
        <v>38307</v>
      </c>
      <c r="W129" s="55">
        <v>27432</v>
      </c>
      <c r="X129" s="55">
        <f t="shared" si="42"/>
        <v>27432</v>
      </c>
      <c r="Y129" s="55">
        <f t="shared" si="44"/>
        <v>27432</v>
      </c>
      <c r="Z129" s="88">
        <f t="shared" si="43"/>
        <v>27432</v>
      </c>
    </row>
    <row r="130" spans="1:26" ht="69" customHeight="1">
      <c r="A130" s="205" t="s">
        <v>46</v>
      </c>
      <c r="B130" s="981"/>
      <c r="C130" s="981"/>
      <c r="D130" s="981"/>
      <c r="E130" s="981"/>
      <c r="F130" s="981"/>
      <c r="G130" s="981"/>
      <c r="H130" s="981"/>
      <c r="I130" s="982"/>
      <c r="J130" s="35">
        <v>18915.86</v>
      </c>
      <c r="K130" s="58">
        <v>113495.16</v>
      </c>
      <c r="L130" s="62"/>
      <c r="M130" s="987"/>
      <c r="N130" s="597"/>
      <c r="O130" s="53">
        <v>12</v>
      </c>
      <c r="P130" s="29">
        <f t="shared" si="40"/>
        <v>9930.83</v>
      </c>
      <c r="Q130" s="53">
        <v>119169.96</v>
      </c>
      <c r="R130" s="60">
        <v>119169.96</v>
      </c>
      <c r="S130" s="60">
        <v>119169.96</v>
      </c>
      <c r="T130" s="60">
        <v>119169.96</v>
      </c>
      <c r="U130" s="75">
        <v>119170</v>
      </c>
      <c r="V130" s="75">
        <f t="shared" si="41"/>
        <v>119170</v>
      </c>
      <c r="W130" s="55">
        <v>85338</v>
      </c>
      <c r="X130" s="55">
        <f t="shared" si="42"/>
        <v>85338</v>
      </c>
      <c r="Y130" s="55">
        <f t="shared" si="44"/>
        <v>85338</v>
      </c>
      <c r="Z130" s="88">
        <f t="shared" si="43"/>
        <v>85338</v>
      </c>
    </row>
    <row r="131" spans="1:26" ht="51" customHeight="1">
      <c r="A131" s="205" t="s">
        <v>38</v>
      </c>
      <c r="B131" s="981"/>
      <c r="C131" s="981"/>
      <c r="D131" s="981"/>
      <c r="E131" s="981"/>
      <c r="F131" s="981"/>
      <c r="G131" s="981"/>
      <c r="H131" s="981"/>
      <c r="I131" s="982"/>
      <c r="J131" s="35">
        <v>20262.8</v>
      </c>
      <c r="K131" s="58">
        <v>60862.8</v>
      </c>
      <c r="L131" s="59"/>
      <c r="M131" s="987"/>
      <c r="N131" s="597"/>
      <c r="O131" s="53">
        <v>12</v>
      </c>
      <c r="P131" s="29">
        <f t="shared" si="40"/>
        <v>5071.9</v>
      </c>
      <c r="Q131" s="53">
        <v>60862.8</v>
      </c>
      <c r="R131" s="60">
        <v>60862.8</v>
      </c>
      <c r="S131" s="61">
        <v>60862.8</v>
      </c>
      <c r="T131" s="61">
        <v>60862.8</v>
      </c>
      <c r="U131" s="63">
        <v>60863</v>
      </c>
      <c r="V131" s="75">
        <f t="shared" si="41"/>
        <v>60863</v>
      </c>
      <c r="W131" s="55">
        <v>43584</v>
      </c>
      <c r="X131" s="55">
        <f t="shared" si="42"/>
        <v>43584</v>
      </c>
      <c r="Y131" s="55">
        <f t="shared" si="44"/>
        <v>43584</v>
      </c>
      <c r="Z131" s="88">
        <f t="shared" si="43"/>
        <v>43584</v>
      </c>
    </row>
    <row r="132" spans="1:26" ht="56.25" customHeight="1">
      <c r="A132" s="205" t="s">
        <v>466</v>
      </c>
      <c r="B132" s="981"/>
      <c r="C132" s="981"/>
      <c r="D132" s="981"/>
      <c r="E132" s="981"/>
      <c r="F132" s="981"/>
      <c r="G132" s="981"/>
      <c r="H132" s="981"/>
      <c r="I132" s="982"/>
      <c r="J132" s="35">
        <v>1483.32</v>
      </c>
      <c r="K132" s="58">
        <v>17800.5</v>
      </c>
      <c r="L132" s="59"/>
      <c r="M132" s="987"/>
      <c r="N132" s="597"/>
      <c r="O132" s="53">
        <v>12</v>
      </c>
      <c r="P132" s="29">
        <f t="shared" si="40"/>
        <v>5150</v>
      </c>
      <c r="Q132" s="53">
        <v>61800</v>
      </c>
      <c r="R132" s="60">
        <v>61800</v>
      </c>
      <c r="S132" s="61">
        <v>61800</v>
      </c>
      <c r="T132" s="61">
        <v>61800</v>
      </c>
      <c r="U132" s="63">
        <v>61800</v>
      </c>
      <c r="V132" s="75">
        <f t="shared" si="41"/>
        <v>61800</v>
      </c>
      <c r="W132" s="55">
        <v>44255</v>
      </c>
      <c r="X132" s="55">
        <f t="shared" si="42"/>
        <v>44255</v>
      </c>
      <c r="Y132" s="55">
        <f t="shared" si="44"/>
        <v>44255</v>
      </c>
      <c r="Z132" s="88">
        <f t="shared" si="43"/>
        <v>44255</v>
      </c>
    </row>
    <row r="133" spans="1:26" ht="48.75" customHeight="1">
      <c r="A133" s="205" t="s">
        <v>51</v>
      </c>
      <c r="B133" s="981"/>
      <c r="C133" s="981"/>
      <c r="D133" s="981"/>
      <c r="E133" s="981"/>
      <c r="F133" s="981"/>
      <c r="G133" s="981"/>
      <c r="H133" s="981"/>
      <c r="I133" s="982"/>
      <c r="J133" s="35">
        <v>38327.4</v>
      </c>
      <c r="K133" s="58">
        <v>38327.4</v>
      </c>
      <c r="L133" s="206"/>
      <c r="M133" s="987"/>
      <c r="N133" s="597"/>
      <c r="O133" s="53">
        <v>12</v>
      </c>
      <c r="P133" s="29">
        <f t="shared" si="40"/>
        <v>5560.62</v>
      </c>
      <c r="Q133" s="53">
        <v>66727.4</v>
      </c>
      <c r="R133" s="60">
        <v>66727.4</v>
      </c>
      <c r="S133" s="60">
        <v>66727.4</v>
      </c>
      <c r="T133" s="60">
        <v>66727.4</v>
      </c>
      <c r="U133" s="75">
        <v>66727</v>
      </c>
      <c r="V133" s="75">
        <f t="shared" si="41"/>
        <v>66727</v>
      </c>
      <c r="W133" s="55">
        <v>47783</v>
      </c>
      <c r="X133" s="55">
        <f t="shared" si="42"/>
        <v>47783</v>
      </c>
      <c r="Y133" s="55">
        <f t="shared" si="44"/>
        <v>47783</v>
      </c>
      <c r="Z133" s="88">
        <f t="shared" si="43"/>
        <v>47783</v>
      </c>
    </row>
    <row r="134" spans="1:26" s="8" customFormat="1" ht="47.25" customHeight="1">
      <c r="A134" s="205" t="s">
        <v>125</v>
      </c>
      <c r="B134" s="981"/>
      <c r="C134" s="981"/>
      <c r="D134" s="981"/>
      <c r="E134" s="981"/>
      <c r="F134" s="981"/>
      <c r="G134" s="981"/>
      <c r="H134" s="981"/>
      <c r="I134" s="982"/>
      <c r="J134" s="21">
        <v>2809.44</v>
      </c>
      <c r="K134" s="65">
        <v>33713.5</v>
      </c>
      <c r="L134" s="207"/>
      <c r="M134" s="987"/>
      <c r="N134" s="599"/>
      <c r="O134" s="66">
        <v>12</v>
      </c>
      <c r="P134" s="29">
        <f t="shared" si="40"/>
        <v>2809.46</v>
      </c>
      <c r="Q134" s="66">
        <v>33713.5</v>
      </c>
      <c r="R134" s="67">
        <v>33713.5</v>
      </c>
      <c r="S134" s="67">
        <v>33713.5</v>
      </c>
      <c r="T134" s="67">
        <v>33713.5</v>
      </c>
      <c r="U134" s="75">
        <v>33713</v>
      </c>
      <c r="V134" s="75">
        <f t="shared" si="41"/>
        <v>33713</v>
      </c>
      <c r="W134" s="55">
        <v>24142</v>
      </c>
      <c r="X134" s="55">
        <f t="shared" si="42"/>
        <v>24142</v>
      </c>
      <c r="Y134" s="55">
        <f t="shared" si="44"/>
        <v>24142</v>
      </c>
      <c r="Z134" s="88">
        <f t="shared" si="43"/>
        <v>24142</v>
      </c>
    </row>
    <row r="135" spans="1:26" ht="53.25" customHeight="1">
      <c r="A135" s="205" t="s">
        <v>42</v>
      </c>
      <c r="B135" s="981"/>
      <c r="C135" s="981"/>
      <c r="D135" s="981"/>
      <c r="E135" s="981"/>
      <c r="F135" s="981"/>
      <c r="G135" s="981"/>
      <c r="H135" s="981"/>
      <c r="I135" s="982"/>
      <c r="J135" s="35">
        <v>4269.88</v>
      </c>
      <c r="K135" s="58">
        <v>25619.28</v>
      </c>
      <c r="L135" s="59"/>
      <c r="M135" s="987"/>
      <c r="N135" s="597"/>
      <c r="O135" s="53">
        <v>12</v>
      </c>
      <c r="P135" s="29">
        <f t="shared" si="40"/>
        <v>2134.94</v>
      </c>
      <c r="Q135" s="53">
        <v>25619.3</v>
      </c>
      <c r="R135" s="60">
        <v>25619.3</v>
      </c>
      <c r="S135" s="60">
        <v>25619.3</v>
      </c>
      <c r="T135" s="60">
        <v>25619.3</v>
      </c>
      <c r="U135" s="75">
        <v>25619</v>
      </c>
      <c r="V135" s="75">
        <f t="shared" si="41"/>
        <v>25619</v>
      </c>
      <c r="W135" s="55">
        <v>18346</v>
      </c>
      <c r="X135" s="55">
        <f t="shared" si="42"/>
        <v>18346</v>
      </c>
      <c r="Y135" s="55">
        <f t="shared" si="44"/>
        <v>18346</v>
      </c>
      <c r="Z135" s="88">
        <f t="shared" si="43"/>
        <v>18346</v>
      </c>
    </row>
    <row r="136" spans="1:53" ht="53.25" customHeight="1">
      <c r="A136" s="205" t="s">
        <v>44</v>
      </c>
      <c r="B136" s="981"/>
      <c r="C136" s="981"/>
      <c r="D136" s="981"/>
      <c r="E136" s="981"/>
      <c r="F136" s="981"/>
      <c r="G136" s="981"/>
      <c r="H136" s="981"/>
      <c r="I136" s="982"/>
      <c r="J136" s="35">
        <v>32832.6</v>
      </c>
      <c r="K136" s="58">
        <v>32832.6</v>
      </c>
      <c r="L136" s="59"/>
      <c r="M136" s="987"/>
      <c r="N136" s="597"/>
      <c r="O136" s="53">
        <v>12</v>
      </c>
      <c r="P136" s="29">
        <f t="shared" si="40"/>
        <v>3333.33</v>
      </c>
      <c r="Q136" s="53">
        <v>40000</v>
      </c>
      <c r="R136" s="60">
        <v>40000</v>
      </c>
      <c r="S136" s="61">
        <v>40000</v>
      </c>
      <c r="T136" s="61">
        <v>40000</v>
      </c>
      <c r="U136" s="63">
        <v>40000</v>
      </c>
      <c r="V136" s="75">
        <f t="shared" si="41"/>
        <v>40000</v>
      </c>
      <c r="W136" s="55">
        <f>U136*71.61/100</f>
        <v>28644</v>
      </c>
      <c r="X136" s="55">
        <f t="shared" si="42"/>
        <v>28644</v>
      </c>
      <c r="Y136" s="55">
        <f t="shared" si="44"/>
        <v>28644</v>
      </c>
      <c r="Z136" s="88">
        <f t="shared" si="43"/>
        <v>28644</v>
      </c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</row>
    <row r="137" spans="1:53" s="2" customFormat="1" ht="72" customHeight="1">
      <c r="A137" s="205" t="s">
        <v>45</v>
      </c>
      <c r="B137" s="981"/>
      <c r="C137" s="981"/>
      <c r="D137" s="981"/>
      <c r="E137" s="981"/>
      <c r="F137" s="981"/>
      <c r="G137" s="981"/>
      <c r="H137" s="981"/>
      <c r="I137" s="982"/>
      <c r="J137" s="35">
        <v>24506.68</v>
      </c>
      <c r="K137" s="58">
        <v>24506.68</v>
      </c>
      <c r="L137" s="59"/>
      <c r="M137" s="987"/>
      <c r="N137" s="597"/>
      <c r="O137" s="53">
        <v>12</v>
      </c>
      <c r="P137" s="29">
        <f t="shared" si="40"/>
        <v>2083.33</v>
      </c>
      <c r="Q137" s="53">
        <v>25000</v>
      </c>
      <c r="R137" s="60">
        <v>25000</v>
      </c>
      <c r="S137" s="60">
        <v>25000</v>
      </c>
      <c r="T137" s="60">
        <v>25000</v>
      </c>
      <c r="U137" s="75">
        <v>25000</v>
      </c>
      <c r="V137" s="75">
        <f t="shared" si="41"/>
        <v>25000</v>
      </c>
      <c r="W137" s="55">
        <v>17902</v>
      </c>
      <c r="X137" s="55">
        <f t="shared" si="42"/>
        <v>17902</v>
      </c>
      <c r="Y137" s="55">
        <f t="shared" si="44"/>
        <v>17902</v>
      </c>
      <c r="Z137" s="88">
        <f t="shared" si="43"/>
        <v>17902</v>
      </c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</row>
    <row r="138" spans="1:26" s="4" customFormat="1" ht="56.25" customHeight="1">
      <c r="A138" s="205" t="s">
        <v>40</v>
      </c>
      <c r="B138" s="981"/>
      <c r="C138" s="981"/>
      <c r="D138" s="981"/>
      <c r="E138" s="981"/>
      <c r="F138" s="981"/>
      <c r="G138" s="981"/>
      <c r="H138" s="981"/>
      <c r="I138" s="982"/>
      <c r="J138" s="35">
        <v>0</v>
      </c>
      <c r="K138" s="58">
        <v>0</v>
      </c>
      <c r="L138" s="206"/>
      <c r="M138" s="987"/>
      <c r="N138" s="597"/>
      <c r="O138" s="53">
        <v>12</v>
      </c>
      <c r="P138" s="29">
        <f t="shared" si="40"/>
        <v>3700</v>
      </c>
      <c r="Q138" s="53">
        <v>44400</v>
      </c>
      <c r="R138" s="60">
        <v>44400</v>
      </c>
      <c r="S138" s="61">
        <v>44400</v>
      </c>
      <c r="T138" s="61">
        <v>44400</v>
      </c>
      <c r="U138" s="63">
        <v>44400</v>
      </c>
      <c r="V138" s="75">
        <f t="shared" si="41"/>
        <v>44400</v>
      </c>
      <c r="W138" s="55">
        <v>31795</v>
      </c>
      <c r="X138" s="55">
        <f t="shared" si="42"/>
        <v>31795</v>
      </c>
      <c r="Y138" s="55">
        <f t="shared" si="44"/>
        <v>31795</v>
      </c>
      <c r="Z138" s="88">
        <f t="shared" si="43"/>
        <v>31795</v>
      </c>
    </row>
    <row r="139" spans="1:53" ht="72" customHeight="1">
      <c r="A139" s="208" t="s">
        <v>41</v>
      </c>
      <c r="B139" s="981"/>
      <c r="C139" s="981"/>
      <c r="D139" s="981"/>
      <c r="E139" s="981"/>
      <c r="F139" s="981"/>
      <c r="G139" s="981"/>
      <c r="H139" s="981"/>
      <c r="I139" s="982"/>
      <c r="J139" s="35">
        <v>0</v>
      </c>
      <c r="K139" s="63">
        <v>49461</v>
      </c>
      <c r="L139" s="59"/>
      <c r="M139" s="988"/>
      <c r="N139" s="597"/>
      <c r="O139" s="53">
        <v>12</v>
      </c>
      <c r="P139" s="29">
        <f t="shared" si="40"/>
        <v>4121.75</v>
      </c>
      <c r="Q139" s="53">
        <v>49461</v>
      </c>
      <c r="R139" s="60">
        <v>49461</v>
      </c>
      <c r="S139" s="61">
        <v>49461</v>
      </c>
      <c r="T139" s="61">
        <v>49461</v>
      </c>
      <c r="U139" s="63">
        <v>49461</v>
      </c>
      <c r="V139" s="75">
        <f t="shared" si="41"/>
        <v>49461</v>
      </c>
      <c r="W139" s="55">
        <v>35419</v>
      </c>
      <c r="X139" s="55">
        <f t="shared" si="42"/>
        <v>35419</v>
      </c>
      <c r="Y139" s="55">
        <f t="shared" si="44"/>
        <v>35419</v>
      </c>
      <c r="Z139" s="88">
        <f t="shared" si="43"/>
        <v>35419</v>
      </c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</row>
    <row r="140" spans="1:53" ht="293.25" customHeight="1">
      <c r="A140" s="147" t="s">
        <v>467</v>
      </c>
      <c r="B140" s="746" t="s">
        <v>6</v>
      </c>
      <c r="C140" s="746" t="s">
        <v>7</v>
      </c>
      <c r="D140" s="746" t="s">
        <v>468</v>
      </c>
      <c r="E140" s="746" t="s">
        <v>8</v>
      </c>
      <c r="F140" s="746" t="s">
        <v>469</v>
      </c>
      <c r="G140" s="746" t="s">
        <v>482</v>
      </c>
      <c r="H140" s="746" t="s">
        <v>9</v>
      </c>
      <c r="I140" s="166" t="s">
        <v>470</v>
      </c>
      <c r="J140" s="747" t="e">
        <f>J141+#REF!+J145</f>
        <v>#REF!</v>
      </c>
      <c r="K140" s="745" t="e">
        <f>K141+#REF!</f>
        <v>#REF!</v>
      </c>
      <c r="L140" s="167"/>
      <c r="M140" s="149"/>
      <c r="N140" s="596"/>
      <c r="O140" s="160"/>
      <c r="P140" s="744" t="e">
        <f>P142+#REF!</f>
        <v>#REF!</v>
      </c>
      <c r="Q140" s="744" t="e">
        <f aca="true" t="shared" si="45" ref="Q140:Z140">Q141+Q144</f>
        <v>#REF!</v>
      </c>
      <c r="R140" s="744" t="e">
        <f t="shared" si="45"/>
        <v>#REF!</v>
      </c>
      <c r="S140" s="744" t="e">
        <f t="shared" si="45"/>
        <v>#REF!</v>
      </c>
      <c r="T140" s="744" t="e">
        <f t="shared" si="45"/>
        <v>#REF!</v>
      </c>
      <c r="U140" s="745">
        <f t="shared" si="45"/>
        <v>200000</v>
      </c>
      <c r="V140" s="745">
        <f t="shared" si="45"/>
        <v>200000</v>
      </c>
      <c r="W140" s="745">
        <f t="shared" si="45"/>
        <v>100000</v>
      </c>
      <c r="X140" s="745">
        <f t="shared" si="45"/>
        <v>100000</v>
      </c>
      <c r="Y140" s="745">
        <f t="shared" si="45"/>
        <v>100000</v>
      </c>
      <c r="Z140" s="745">
        <f t="shared" si="45"/>
        <v>100000</v>
      </c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</row>
    <row r="141" spans="1:53" s="10" customFormat="1" ht="30.75" customHeight="1">
      <c r="A141" s="989" t="s">
        <v>13</v>
      </c>
      <c r="B141" s="990"/>
      <c r="C141" s="991"/>
      <c r="D141" s="991"/>
      <c r="E141" s="991"/>
      <c r="F141" s="991"/>
      <c r="G141" s="991"/>
      <c r="H141" s="991"/>
      <c r="I141" s="992" t="s">
        <v>657</v>
      </c>
      <c r="J141" s="994">
        <v>143324</v>
      </c>
      <c r="K141" s="996">
        <v>41040</v>
      </c>
      <c r="L141" s="997" t="s">
        <v>11</v>
      </c>
      <c r="M141" s="209" t="s">
        <v>227</v>
      </c>
      <c r="N141" s="600"/>
      <c r="O141" s="163">
        <f>O142+O143</f>
        <v>104</v>
      </c>
      <c r="P141" s="19"/>
      <c r="Q141" s="19">
        <f aca="true" t="shared" si="46" ref="Q141:Z141">Q142+Q143</f>
        <v>150600</v>
      </c>
      <c r="R141" s="19">
        <f t="shared" si="46"/>
        <v>150600</v>
      </c>
      <c r="S141" s="19">
        <f t="shared" si="46"/>
        <v>150600</v>
      </c>
      <c r="T141" s="19">
        <f t="shared" si="46"/>
        <v>150600</v>
      </c>
      <c r="U141" s="20">
        <f t="shared" si="46"/>
        <v>54720</v>
      </c>
      <c r="V141" s="20">
        <f t="shared" si="46"/>
        <v>54720</v>
      </c>
      <c r="W141" s="20">
        <f t="shared" si="46"/>
        <v>27360</v>
      </c>
      <c r="X141" s="20">
        <f t="shared" si="46"/>
        <v>27360</v>
      </c>
      <c r="Y141" s="20">
        <f t="shared" si="46"/>
        <v>27360</v>
      </c>
      <c r="Z141" s="20">
        <f t="shared" si="46"/>
        <v>27360</v>
      </c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</row>
    <row r="142" spans="1:53" ht="51" customHeight="1">
      <c r="A142" s="812"/>
      <c r="B142" s="991"/>
      <c r="C142" s="991"/>
      <c r="D142" s="991"/>
      <c r="E142" s="991"/>
      <c r="F142" s="991"/>
      <c r="G142" s="991"/>
      <c r="H142" s="991"/>
      <c r="I142" s="993"/>
      <c r="J142" s="995"/>
      <c r="K142" s="991"/>
      <c r="L142" s="993"/>
      <c r="M142" s="68" t="s">
        <v>716</v>
      </c>
      <c r="N142" s="597" t="s">
        <v>326</v>
      </c>
      <c r="O142" s="53">
        <v>50</v>
      </c>
      <c r="P142" s="53">
        <f>Q142/O142</f>
        <v>852</v>
      </c>
      <c r="Q142" s="53">
        <v>42600</v>
      </c>
      <c r="R142" s="53">
        <v>42600</v>
      </c>
      <c r="S142" s="53">
        <v>42600</v>
      </c>
      <c r="T142" s="53">
        <v>42600</v>
      </c>
      <c r="U142" s="47">
        <v>30720</v>
      </c>
      <c r="V142" s="47">
        <f>U142</f>
        <v>30720</v>
      </c>
      <c r="W142" s="47">
        <f>U142/2</f>
        <v>15360</v>
      </c>
      <c r="X142" s="47">
        <f>W142</f>
        <v>15360</v>
      </c>
      <c r="Y142" s="47">
        <f>U142/2</f>
        <v>15360</v>
      </c>
      <c r="Z142" s="88">
        <f>Y142</f>
        <v>15360</v>
      </c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</row>
    <row r="143" spans="1:53" ht="69" customHeight="1">
      <c r="A143" s="812"/>
      <c r="B143" s="991"/>
      <c r="C143" s="991"/>
      <c r="D143" s="991"/>
      <c r="E143" s="991"/>
      <c r="F143" s="991"/>
      <c r="G143" s="991"/>
      <c r="H143" s="991"/>
      <c r="I143" s="993"/>
      <c r="J143" s="995"/>
      <c r="K143" s="991"/>
      <c r="L143" s="993"/>
      <c r="M143" s="68" t="s">
        <v>471</v>
      </c>
      <c r="N143" s="597" t="s">
        <v>326</v>
      </c>
      <c r="O143" s="53">
        <v>54</v>
      </c>
      <c r="P143" s="53">
        <f>Q143/O143</f>
        <v>2000</v>
      </c>
      <c r="Q143" s="53">
        <v>108000</v>
      </c>
      <c r="R143" s="53">
        <v>108000</v>
      </c>
      <c r="S143" s="53">
        <v>108000</v>
      </c>
      <c r="T143" s="53">
        <v>108000</v>
      </c>
      <c r="U143" s="47">
        <v>24000</v>
      </c>
      <c r="V143" s="47">
        <f>U143</f>
        <v>24000</v>
      </c>
      <c r="W143" s="47">
        <f>U143/2</f>
        <v>12000</v>
      </c>
      <c r="X143" s="47">
        <f>W143</f>
        <v>12000</v>
      </c>
      <c r="Y143" s="47">
        <f>U143/2</f>
        <v>12000</v>
      </c>
      <c r="Z143" s="88">
        <f>Y143</f>
        <v>12000</v>
      </c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</row>
    <row r="144" spans="1:53" ht="30" customHeight="1">
      <c r="A144" s="850" t="s">
        <v>472</v>
      </c>
      <c r="B144" s="991"/>
      <c r="C144" s="991"/>
      <c r="D144" s="991"/>
      <c r="E144" s="991"/>
      <c r="F144" s="991"/>
      <c r="G144" s="991"/>
      <c r="H144" s="991"/>
      <c r="I144" s="742"/>
      <c r="J144" s="35"/>
      <c r="K144" s="210"/>
      <c r="L144" s="33"/>
      <c r="M144" s="68" t="s">
        <v>16</v>
      </c>
      <c r="N144" s="597"/>
      <c r="O144" s="53" t="e">
        <f>#REF!+O145+#REF!+#REF!</f>
        <v>#REF!</v>
      </c>
      <c r="P144" s="53"/>
      <c r="Q144" s="66" t="e">
        <f>#REF!+#REF!+Q145+#REF!+#REF!</f>
        <v>#REF!</v>
      </c>
      <c r="R144" s="66" t="e">
        <f>#REF!+#REF!+R145+#REF!+#REF!</f>
        <v>#REF!</v>
      </c>
      <c r="S144" s="66" t="e">
        <f>#REF!+#REF!+S145+#REF!+#REF!</f>
        <v>#REF!</v>
      </c>
      <c r="T144" s="66" t="e">
        <f>#REF!+#REF!+T145+#REF!+#REF!</f>
        <v>#REF!</v>
      </c>
      <c r="U144" s="78">
        <f aca="true" t="shared" si="47" ref="U144:Z144">U145</f>
        <v>145280</v>
      </c>
      <c r="V144" s="78">
        <f t="shared" si="47"/>
        <v>145280</v>
      </c>
      <c r="W144" s="78">
        <f t="shared" si="47"/>
        <v>72640</v>
      </c>
      <c r="X144" s="78">
        <f t="shared" si="47"/>
        <v>72640</v>
      </c>
      <c r="Y144" s="78">
        <f t="shared" si="47"/>
        <v>72640</v>
      </c>
      <c r="Z144" s="78">
        <f t="shared" si="47"/>
        <v>72640</v>
      </c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</row>
    <row r="145" spans="1:53" ht="92.25" customHeight="1">
      <c r="A145" s="812"/>
      <c r="B145" s="991"/>
      <c r="C145" s="991"/>
      <c r="D145" s="991"/>
      <c r="E145" s="991"/>
      <c r="F145" s="991"/>
      <c r="G145" s="991"/>
      <c r="H145" s="991"/>
      <c r="I145" s="151" t="s">
        <v>656</v>
      </c>
      <c r="J145" s="35">
        <v>38880</v>
      </c>
      <c r="K145" s="71"/>
      <c r="L145" s="24" t="s">
        <v>11</v>
      </c>
      <c r="M145" s="72" t="s">
        <v>473</v>
      </c>
      <c r="N145" s="590" t="s">
        <v>320</v>
      </c>
      <c r="O145" s="53">
        <v>20000</v>
      </c>
      <c r="P145" s="53">
        <v>29</v>
      </c>
      <c r="Q145" s="73">
        <f>ROUND(O145*P145,0)</f>
        <v>580000</v>
      </c>
      <c r="R145" s="211">
        <f>Q145</f>
        <v>580000</v>
      </c>
      <c r="S145" s="211">
        <f>R145</f>
        <v>580000</v>
      </c>
      <c r="T145" s="211">
        <f>S145</f>
        <v>580000</v>
      </c>
      <c r="U145" s="47">
        <v>145280</v>
      </c>
      <c r="V145" s="47">
        <f>U145</f>
        <v>145280</v>
      </c>
      <c r="W145" s="47">
        <f>U145/2</f>
        <v>72640</v>
      </c>
      <c r="X145" s="47">
        <f>W145</f>
        <v>72640</v>
      </c>
      <c r="Y145" s="47">
        <f>U145/2</f>
        <v>72640</v>
      </c>
      <c r="Z145" s="88">
        <f>Y145</f>
        <v>72640</v>
      </c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</row>
    <row r="146" spans="1:53" ht="51.75" customHeight="1">
      <c r="A146" s="963" t="s">
        <v>234</v>
      </c>
      <c r="B146" s="963"/>
      <c r="C146" s="963"/>
      <c r="D146" s="963"/>
      <c r="E146" s="963"/>
      <c r="F146" s="963"/>
      <c r="G146" s="963"/>
      <c r="H146" s="963"/>
      <c r="I146" s="963"/>
      <c r="J146" s="963"/>
      <c r="K146" s="963"/>
      <c r="L146" s="963"/>
      <c r="M146" s="963"/>
      <c r="N146" s="963"/>
      <c r="O146" s="212"/>
      <c r="P146" s="213"/>
      <c r="Q146" s="214"/>
      <c r="R146" s="215"/>
      <c r="S146" s="215"/>
      <c r="T146" s="215"/>
      <c r="U146" s="93">
        <f aca="true" t="shared" si="48" ref="U146:Z146">U147+U149</f>
        <v>101768.42</v>
      </c>
      <c r="V146" s="93">
        <f t="shared" si="48"/>
        <v>101768.42</v>
      </c>
      <c r="W146" s="93">
        <f t="shared" si="48"/>
        <v>101589.48</v>
      </c>
      <c r="X146" s="93">
        <f t="shared" si="48"/>
        <v>101589.48</v>
      </c>
      <c r="Y146" s="93">
        <f t="shared" si="48"/>
        <v>101589.48</v>
      </c>
      <c r="Z146" s="93">
        <f t="shared" si="48"/>
        <v>101589.48</v>
      </c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</row>
    <row r="147" spans="1:53" ht="169.5" customHeight="1">
      <c r="A147" s="216" t="s">
        <v>700</v>
      </c>
      <c r="B147" s="691">
        <v>811</v>
      </c>
      <c r="C147" s="346" t="s">
        <v>7</v>
      </c>
      <c r="D147" s="691" t="s">
        <v>233</v>
      </c>
      <c r="E147" s="691">
        <v>612</v>
      </c>
      <c r="F147" s="691"/>
      <c r="G147" s="691" t="s">
        <v>507</v>
      </c>
      <c r="H147" s="691">
        <v>1111</v>
      </c>
      <c r="I147" s="147" t="s">
        <v>409</v>
      </c>
      <c r="J147" s="217"/>
      <c r="K147" s="217"/>
      <c r="L147" s="217" t="s">
        <v>214</v>
      </c>
      <c r="M147" s="217"/>
      <c r="N147" s="217"/>
      <c r="O147" s="218"/>
      <c r="P147" s="219"/>
      <c r="Q147" s="220"/>
      <c r="R147" s="221"/>
      <c r="S147" s="221"/>
      <c r="T147" s="221"/>
      <c r="U147" s="94">
        <f aca="true" t="shared" si="49" ref="U147:Z149">U148</f>
        <v>0</v>
      </c>
      <c r="V147" s="94">
        <f t="shared" si="49"/>
        <v>0</v>
      </c>
      <c r="W147" s="94">
        <f t="shared" si="49"/>
        <v>101589.48</v>
      </c>
      <c r="X147" s="94">
        <f t="shared" si="49"/>
        <v>101589.48</v>
      </c>
      <c r="Y147" s="94">
        <f t="shared" si="49"/>
        <v>101589.48</v>
      </c>
      <c r="Z147" s="94">
        <f t="shared" si="49"/>
        <v>101589.48</v>
      </c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</row>
    <row r="148" spans="1:53" ht="148.5" customHeight="1">
      <c r="A148" s="186" t="s">
        <v>506</v>
      </c>
      <c r="B148" s="222"/>
      <c r="C148" s="222"/>
      <c r="D148" s="222"/>
      <c r="E148" s="222"/>
      <c r="F148" s="222"/>
      <c r="G148" s="222"/>
      <c r="H148" s="222"/>
      <c r="I148" s="186" t="s">
        <v>618</v>
      </c>
      <c r="J148" s="222"/>
      <c r="K148" s="222"/>
      <c r="L148" s="222"/>
      <c r="M148" s="186" t="s">
        <v>619</v>
      </c>
      <c r="N148" s="222"/>
      <c r="O148" s="70"/>
      <c r="P148" s="53"/>
      <c r="Q148" s="59"/>
      <c r="R148" s="211"/>
      <c r="S148" s="211"/>
      <c r="T148" s="211"/>
      <c r="U148" s="47">
        <v>0</v>
      </c>
      <c r="V148" s="47">
        <v>0</v>
      </c>
      <c r="W148" s="95">
        <v>101589.48</v>
      </c>
      <c r="X148" s="95">
        <f>W148</f>
        <v>101589.48</v>
      </c>
      <c r="Y148" s="47">
        <v>101589.48</v>
      </c>
      <c r="Z148" s="88">
        <f>Y148</f>
        <v>101589.48</v>
      </c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</row>
    <row r="149" spans="1:53" ht="243" customHeight="1">
      <c r="A149" s="216" t="s">
        <v>700</v>
      </c>
      <c r="B149" s="691">
        <v>811</v>
      </c>
      <c r="C149" s="346" t="s">
        <v>7</v>
      </c>
      <c r="D149" s="691" t="s">
        <v>233</v>
      </c>
      <c r="E149" s="691">
        <v>612</v>
      </c>
      <c r="F149" s="691"/>
      <c r="G149" s="691" t="s">
        <v>782</v>
      </c>
      <c r="H149" s="691">
        <v>1111</v>
      </c>
      <c r="I149" s="147" t="s">
        <v>409</v>
      </c>
      <c r="J149" s="217"/>
      <c r="K149" s="217"/>
      <c r="L149" s="217" t="s">
        <v>214</v>
      </c>
      <c r="M149" s="217"/>
      <c r="N149" s="217"/>
      <c r="O149" s="218"/>
      <c r="P149" s="219"/>
      <c r="Q149" s="220"/>
      <c r="R149" s="221"/>
      <c r="S149" s="221"/>
      <c r="T149" s="221"/>
      <c r="U149" s="94">
        <f t="shared" si="49"/>
        <v>101768.42</v>
      </c>
      <c r="V149" s="94">
        <f t="shared" si="49"/>
        <v>101768.42</v>
      </c>
      <c r="W149" s="94">
        <f t="shared" si="49"/>
        <v>0</v>
      </c>
      <c r="X149" s="94">
        <f t="shared" si="49"/>
        <v>0</v>
      </c>
      <c r="Y149" s="94">
        <f t="shared" si="49"/>
        <v>0</v>
      </c>
      <c r="Z149" s="94">
        <f t="shared" si="49"/>
        <v>0</v>
      </c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</row>
    <row r="150" spans="1:53" ht="172.5" customHeight="1">
      <c r="A150" s="186" t="s">
        <v>506</v>
      </c>
      <c r="B150" s="222"/>
      <c r="C150" s="222"/>
      <c r="D150" s="222"/>
      <c r="E150" s="222"/>
      <c r="F150" s="222"/>
      <c r="G150" s="222"/>
      <c r="H150" s="222"/>
      <c r="I150" s="186" t="s">
        <v>618</v>
      </c>
      <c r="J150" s="222"/>
      <c r="K150" s="222"/>
      <c r="L150" s="222"/>
      <c r="M150" s="186" t="s">
        <v>619</v>
      </c>
      <c r="N150" s="222"/>
      <c r="O150" s="70"/>
      <c r="P150" s="53"/>
      <c r="Q150" s="59"/>
      <c r="R150" s="211"/>
      <c r="S150" s="211"/>
      <c r="T150" s="211"/>
      <c r="U150" s="47">
        <v>101768.42</v>
      </c>
      <c r="V150" s="47">
        <f>U150</f>
        <v>101768.42</v>
      </c>
      <c r="W150" s="95">
        <v>0</v>
      </c>
      <c r="X150" s="95">
        <v>0</v>
      </c>
      <c r="Y150" s="47">
        <v>0</v>
      </c>
      <c r="Z150" s="88">
        <f>Y150</f>
        <v>0</v>
      </c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</row>
    <row r="151" spans="1:26" ht="86.25" customHeight="1">
      <c r="A151" s="964" t="s">
        <v>61</v>
      </c>
      <c r="B151" s="965"/>
      <c r="C151" s="965"/>
      <c r="D151" s="965"/>
      <c r="E151" s="965"/>
      <c r="F151" s="965"/>
      <c r="G151" s="965"/>
      <c r="H151" s="965"/>
      <c r="I151" s="965"/>
      <c r="J151" s="965"/>
      <c r="K151" s="965"/>
      <c r="L151" s="965"/>
      <c r="M151" s="965"/>
      <c r="N151" s="624"/>
      <c r="O151" s="223"/>
      <c r="P151" s="223"/>
      <c r="Q151" s="223"/>
      <c r="R151" s="224" t="e">
        <f>R152+R173+R267+R269+R276+R280</f>
        <v>#REF!</v>
      </c>
      <c r="S151" s="224" t="e">
        <f>S152+S173+S267+S269+S276+S280</f>
        <v>#REF!</v>
      </c>
      <c r="T151" s="224" t="e">
        <f>T152+T173+T267+T269+T276+T280</f>
        <v>#REF!</v>
      </c>
      <c r="U151" s="96">
        <f aca="true" t="shared" si="50" ref="U151:Z151">U152+U173++U267+U269+U276+U280+U285+U291+U287</f>
        <v>92535590.42</v>
      </c>
      <c r="V151" s="96">
        <f t="shared" si="50"/>
        <v>92535590.42</v>
      </c>
      <c r="W151" s="96">
        <f t="shared" si="50"/>
        <v>54506479.91</v>
      </c>
      <c r="X151" s="96">
        <f t="shared" si="50"/>
        <v>54506479.91</v>
      </c>
      <c r="Y151" s="96">
        <f t="shared" si="50"/>
        <v>54506479.91</v>
      </c>
      <c r="Z151" s="96">
        <f t="shared" si="50"/>
        <v>54506479.91</v>
      </c>
    </row>
    <row r="152" spans="1:26" ht="148.5" customHeight="1">
      <c r="A152" s="225" t="s">
        <v>62</v>
      </c>
      <c r="B152" s="690" t="s">
        <v>6</v>
      </c>
      <c r="C152" s="690" t="s">
        <v>7</v>
      </c>
      <c r="D152" s="690" t="s">
        <v>63</v>
      </c>
      <c r="E152" s="690" t="s">
        <v>8</v>
      </c>
      <c r="F152" s="690" t="s">
        <v>64</v>
      </c>
      <c r="G152" s="690" t="s">
        <v>483</v>
      </c>
      <c r="H152" s="690" t="s">
        <v>9</v>
      </c>
      <c r="I152" s="226" t="s">
        <v>65</v>
      </c>
      <c r="J152" s="97">
        <f>J153+J154+J171</f>
        <v>28049999.5</v>
      </c>
      <c r="K152" s="97">
        <f>K153+K154+K171</f>
        <v>79276545.3</v>
      </c>
      <c r="L152" s="97"/>
      <c r="M152" s="97"/>
      <c r="N152" s="601"/>
      <c r="O152" s="97"/>
      <c r="P152" s="97"/>
      <c r="Q152" s="97" t="e">
        <f>Q153+Q154+Q171</f>
        <v>#REF!</v>
      </c>
      <c r="R152" s="227" t="e">
        <f>R153+R154+R171</f>
        <v>#REF!</v>
      </c>
      <c r="S152" s="228" t="e">
        <f>S153+S154+S171</f>
        <v>#REF!</v>
      </c>
      <c r="T152" s="228" t="e">
        <f>T153+T154+T171</f>
        <v>#REF!</v>
      </c>
      <c r="U152" s="97">
        <f aca="true" t="shared" si="51" ref="U152:Z152">U153+U154+U171+U172</f>
        <v>65397003</v>
      </c>
      <c r="V152" s="97">
        <f t="shared" si="51"/>
        <v>65397003</v>
      </c>
      <c r="W152" s="97">
        <f t="shared" si="51"/>
        <v>39638272.65</v>
      </c>
      <c r="X152" s="97">
        <f t="shared" si="51"/>
        <v>39638272.65</v>
      </c>
      <c r="Y152" s="97">
        <f t="shared" si="51"/>
        <v>39638272.65</v>
      </c>
      <c r="Z152" s="97">
        <f t="shared" si="51"/>
        <v>39638272.65</v>
      </c>
    </row>
    <row r="153" spans="1:26" ht="51.75" customHeight="1">
      <c r="A153" s="966" t="s">
        <v>66</v>
      </c>
      <c r="B153" s="969"/>
      <c r="C153" s="970"/>
      <c r="D153" s="970"/>
      <c r="E153" s="970"/>
      <c r="F153" s="970"/>
      <c r="G153" s="970"/>
      <c r="H153" s="971"/>
      <c r="I153" s="978" t="s">
        <v>687</v>
      </c>
      <c r="J153" s="229">
        <v>2194279.16</v>
      </c>
      <c r="K153" s="229">
        <v>59000000</v>
      </c>
      <c r="L153" s="230" t="s">
        <v>67</v>
      </c>
      <c r="M153" s="231" t="s">
        <v>263</v>
      </c>
      <c r="N153" s="602"/>
      <c r="O153" s="232"/>
      <c r="P153" s="229"/>
      <c r="Q153" s="233">
        <v>20000000</v>
      </c>
      <c r="R153" s="234">
        <f aca="true" t="shared" si="52" ref="R153:Z153">Q153</f>
        <v>20000000</v>
      </c>
      <c r="S153" s="235">
        <f t="shared" si="52"/>
        <v>20000000</v>
      </c>
      <c r="T153" s="235">
        <f t="shared" si="52"/>
        <v>20000000</v>
      </c>
      <c r="U153" s="98">
        <f t="shared" si="52"/>
        <v>20000000</v>
      </c>
      <c r="V153" s="98">
        <f t="shared" si="52"/>
        <v>20000000</v>
      </c>
      <c r="W153" s="98">
        <v>16939771.15</v>
      </c>
      <c r="X153" s="98">
        <f t="shared" si="52"/>
        <v>16939771.15</v>
      </c>
      <c r="Y153" s="98">
        <f t="shared" si="52"/>
        <v>16939771.15</v>
      </c>
      <c r="Z153" s="98">
        <f t="shared" si="52"/>
        <v>16939771.15</v>
      </c>
    </row>
    <row r="154" spans="1:26" ht="23.25">
      <c r="A154" s="967"/>
      <c r="B154" s="972"/>
      <c r="C154" s="973"/>
      <c r="D154" s="973"/>
      <c r="E154" s="973"/>
      <c r="F154" s="973"/>
      <c r="G154" s="973"/>
      <c r="H154" s="974"/>
      <c r="I154" s="978"/>
      <c r="J154" s="947">
        <v>6454781.03</v>
      </c>
      <c r="K154" s="962">
        <v>11788770.3</v>
      </c>
      <c r="L154" s="942" t="s">
        <v>68</v>
      </c>
      <c r="M154" s="237" t="s">
        <v>227</v>
      </c>
      <c r="N154" s="603"/>
      <c r="O154" s="238">
        <v>1877</v>
      </c>
      <c r="P154" s="109">
        <f>Q154/O154</f>
        <v>10538.99147575919</v>
      </c>
      <c r="Q154" s="239">
        <f aca="true" t="shared" si="53" ref="Q154:Z154">SUM(Q155:Q170)</f>
        <v>19781687</v>
      </c>
      <c r="R154" s="240">
        <f t="shared" si="53"/>
        <v>19781687</v>
      </c>
      <c r="S154" s="240">
        <f t="shared" si="53"/>
        <v>19781687</v>
      </c>
      <c r="T154" s="240">
        <f t="shared" si="53"/>
        <v>19781687</v>
      </c>
      <c r="U154" s="98">
        <f>SUM(U155:U170)</f>
        <v>13626503</v>
      </c>
      <c r="V154" s="98">
        <f t="shared" si="53"/>
        <v>13626503</v>
      </c>
      <c r="W154" s="98">
        <f t="shared" si="53"/>
        <v>9890843.5</v>
      </c>
      <c r="X154" s="98">
        <f t="shared" si="53"/>
        <v>9890843.5</v>
      </c>
      <c r="Y154" s="98">
        <f t="shared" si="53"/>
        <v>9890843.5</v>
      </c>
      <c r="Z154" s="98">
        <f t="shared" si="53"/>
        <v>9890843.5</v>
      </c>
    </row>
    <row r="155" spans="1:26" ht="141.75">
      <c r="A155" s="967"/>
      <c r="B155" s="972"/>
      <c r="C155" s="973"/>
      <c r="D155" s="973"/>
      <c r="E155" s="973"/>
      <c r="F155" s="973"/>
      <c r="G155" s="973"/>
      <c r="H155" s="974"/>
      <c r="I155" s="978"/>
      <c r="J155" s="856"/>
      <c r="K155" s="848"/>
      <c r="L155" s="942"/>
      <c r="M155" s="156" t="s">
        <v>727</v>
      </c>
      <c r="N155" s="603" t="s">
        <v>254</v>
      </c>
      <c r="O155" s="242">
        <v>19</v>
      </c>
      <c r="P155" s="242">
        <v>70740.15</v>
      </c>
      <c r="Q155" s="242">
        <f>ROUND(O155*P155,0)</f>
        <v>1344063</v>
      </c>
      <c r="R155" s="243">
        <v>1344063</v>
      </c>
      <c r="S155" s="244">
        <v>1344063</v>
      </c>
      <c r="T155" s="244">
        <v>1344063</v>
      </c>
      <c r="U155" s="767">
        <v>68130.7</v>
      </c>
      <c r="V155" s="767">
        <f>U155</f>
        <v>68130.7</v>
      </c>
      <c r="W155" s="47">
        <v>672031.5</v>
      </c>
      <c r="X155" s="47">
        <v>672031.5</v>
      </c>
      <c r="Y155" s="47">
        <v>672031.5</v>
      </c>
      <c r="Z155" s="47">
        <v>672031.5</v>
      </c>
    </row>
    <row r="156" spans="1:26" ht="81">
      <c r="A156" s="967"/>
      <c r="B156" s="972"/>
      <c r="C156" s="973"/>
      <c r="D156" s="973"/>
      <c r="E156" s="973"/>
      <c r="F156" s="973"/>
      <c r="G156" s="973"/>
      <c r="H156" s="974"/>
      <c r="I156" s="978"/>
      <c r="J156" s="856"/>
      <c r="K156" s="848"/>
      <c r="L156" s="942"/>
      <c r="M156" s="156" t="s">
        <v>728</v>
      </c>
      <c r="N156" s="603" t="s">
        <v>326</v>
      </c>
      <c r="O156" s="242">
        <v>35</v>
      </c>
      <c r="P156" s="242">
        <v>6668.01</v>
      </c>
      <c r="Q156" s="242">
        <f aca="true" t="shared" si="54" ref="Q156:Q170">ROUND(O156*P156,0)</f>
        <v>233380</v>
      </c>
      <c r="R156" s="243">
        <v>233380</v>
      </c>
      <c r="S156" s="244">
        <v>233380</v>
      </c>
      <c r="T156" s="244">
        <v>233380</v>
      </c>
      <c r="U156" s="767">
        <v>315358.25</v>
      </c>
      <c r="V156" s="767">
        <f aca="true" t="shared" si="55" ref="V156:V170">U156</f>
        <v>315358.25</v>
      </c>
      <c r="W156" s="47">
        <v>116690</v>
      </c>
      <c r="X156" s="47">
        <v>116690</v>
      </c>
      <c r="Y156" s="47">
        <v>116690</v>
      </c>
      <c r="Z156" s="47">
        <v>116690</v>
      </c>
    </row>
    <row r="157" spans="1:26" ht="89.25" customHeight="1">
      <c r="A157" s="967"/>
      <c r="B157" s="972"/>
      <c r="C157" s="973"/>
      <c r="D157" s="973"/>
      <c r="E157" s="973"/>
      <c r="F157" s="973"/>
      <c r="G157" s="973"/>
      <c r="H157" s="974"/>
      <c r="I157" s="978"/>
      <c r="J157" s="856"/>
      <c r="K157" s="848"/>
      <c r="L157" s="942"/>
      <c r="M157" s="156" t="s">
        <v>729</v>
      </c>
      <c r="N157" s="603" t="s">
        <v>245</v>
      </c>
      <c r="O157" s="242">
        <v>127</v>
      </c>
      <c r="P157" s="242">
        <v>3640.4</v>
      </c>
      <c r="Q157" s="242">
        <f t="shared" si="54"/>
        <v>462331</v>
      </c>
      <c r="R157" s="243">
        <v>462331</v>
      </c>
      <c r="S157" s="244">
        <v>462331</v>
      </c>
      <c r="T157" s="244">
        <v>462331</v>
      </c>
      <c r="U157" s="767">
        <v>331553.3</v>
      </c>
      <c r="V157" s="767">
        <f t="shared" si="55"/>
        <v>331553.3</v>
      </c>
      <c r="W157" s="47">
        <v>231165.5</v>
      </c>
      <c r="X157" s="47">
        <v>231165.5</v>
      </c>
      <c r="Y157" s="47">
        <v>231165.5</v>
      </c>
      <c r="Z157" s="47">
        <v>231165.5</v>
      </c>
    </row>
    <row r="158" spans="1:26" ht="81">
      <c r="A158" s="967"/>
      <c r="B158" s="972"/>
      <c r="C158" s="973"/>
      <c r="D158" s="973"/>
      <c r="E158" s="973"/>
      <c r="F158" s="973"/>
      <c r="G158" s="973"/>
      <c r="H158" s="974"/>
      <c r="I158" s="978"/>
      <c r="J158" s="856"/>
      <c r="K158" s="848"/>
      <c r="L158" s="942"/>
      <c r="M158" s="156" t="s">
        <v>730</v>
      </c>
      <c r="N158" s="603" t="s">
        <v>245</v>
      </c>
      <c r="O158" s="242">
        <v>93</v>
      </c>
      <c r="P158" s="242">
        <v>6886.51</v>
      </c>
      <c r="Q158" s="242">
        <f t="shared" si="54"/>
        <v>640445</v>
      </c>
      <c r="R158" s="243">
        <v>640445</v>
      </c>
      <c r="S158" s="244">
        <v>640445</v>
      </c>
      <c r="T158" s="244">
        <v>640445</v>
      </c>
      <c r="U158" s="767">
        <v>251684.82</v>
      </c>
      <c r="V158" s="767">
        <f t="shared" si="55"/>
        <v>251684.82</v>
      </c>
      <c r="W158" s="47">
        <v>320222.5</v>
      </c>
      <c r="X158" s="47">
        <v>320222.5</v>
      </c>
      <c r="Y158" s="47">
        <v>320222.5</v>
      </c>
      <c r="Z158" s="47">
        <v>320222.5</v>
      </c>
    </row>
    <row r="159" spans="1:87" s="3" customFormat="1" ht="81">
      <c r="A159" s="967"/>
      <c r="B159" s="972"/>
      <c r="C159" s="973"/>
      <c r="D159" s="973"/>
      <c r="E159" s="973"/>
      <c r="F159" s="973"/>
      <c r="G159" s="973"/>
      <c r="H159" s="974"/>
      <c r="I159" s="978"/>
      <c r="J159" s="856"/>
      <c r="K159" s="848"/>
      <c r="L159" s="942"/>
      <c r="M159" s="156" t="s">
        <v>731</v>
      </c>
      <c r="N159" s="603" t="s">
        <v>326</v>
      </c>
      <c r="O159" s="242">
        <v>21</v>
      </c>
      <c r="P159" s="242">
        <v>32907.02</v>
      </c>
      <c r="Q159" s="242">
        <f t="shared" si="54"/>
        <v>691047</v>
      </c>
      <c r="R159" s="243">
        <v>691047</v>
      </c>
      <c r="S159" s="244">
        <v>691047</v>
      </c>
      <c r="T159" s="244">
        <v>691047</v>
      </c>
      <c r="U159" s="767">
        <v>486737.1</v>
      </c>
      <c r="V159" s="767">
        <f t="shared" si="55"/>
        <v>486737.1</v>
      </c>
      <c r="W159" s="47">
        <v>345523.5</v>
      </c>
      <c r="X159" s="47">
        <v>345523.5</v>
      </c>
      <c r="Y159" s="47">
        <v>345523.5</v>
      </c>
      <c r="Z159" s="47">
        <v>345523.5</v>
      </c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</row>
    <row r="160" spans="1:87" s="3" customFormat="1" ht="66" customHeight="1">
      <c r="A160" s="967"/>
      <c r="B160" s="972"/>
      <c r="C160" s="973"/>
      <c r="D160" s="973"/>
      <c r="E160" s="973"/>
      <c r="F160" s="973"/>
      <c r="G160" s="973"/>
      <c r="H160" s="974"/>
      <c r="I160" s="847"/>
      <c r="J160" s="856"/>
      <c r="K160" s="848"/>
      <c r="L160" s="848"/>
      <c r="M160" s="156" t="s">
        <v>732</v>
      </c>
      <c r="N160" s="603" t="s">
        <v>326</v>
      </c>
      <c r="O160" s="242">
        <v>20</v>
      </c>
      <c r="P160" s="242">
        <v>15654</v>
      </c>
      <c r="Q160" s="242">
        <f t="shared" si="54"/>
        <v>313080</v>
      </c>
      <c r="R160" s="243">
        <v>313080</v>
      </c>
      <c r="S160" s="244">
        <v>313080</v>
      </c>
      <c r="T160" s="244">
        <v>313080</v>
      </c>
      <c r="U160" s="767">
        <v>33000</v>
      </c>
      <c r="V160" s="767">
        <f t="shared" si="55"/>
        <v>33000</v>
      </c>
      <c r="W160" s="47">
        <v>156540</v>
      </c>
      <c r="X160" s="47">
        <v>156540</v>
      </c>
      <c r="Y160" s="47">
        <v>156540</v>
      </c>
      <c r="Z160" s="47">
        <v>156540</v>
      </c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</row>
    <row r="161" spans="1:87" s="3" customFormat="1" ht="81">
      <c r="A161" s="967"/>
      <c r="B161" s="972"/>
      <c r="C161" s="973"/>
      <c r="D161" s="973"/>
      <c r="E161" s="973"/>
      <c r="F161" s="973"/>
      <c r="G161" s="973"/>
      <c r="H161" s="974"/>
      <c r="I161" s="847"/>
      <c r="J161" s="856"/>
      <c r="K161" s="848"/>
      <c r="L161" s="848"/>
      <c r="M161" s="156" t="s">
        <v>733</v>
      </c>
      <c r="N161" s="603" t="s">
        <v>326</v>
      </c>
      <c r="O161" s="242">
        <v>15</v>
      </c>
      <c r="P161" s="242">
        <v>14918.96</v>
      </c>
      <c r="Q161" s="242">
        <f t="shared" si="54"/>
        <v>223784</v>
      </c>
      <c r="R161" s="243">
        <v>223784</v>
      </c>
      <c r="S161" s="244">
        <v>223784</v>
      </c>
      <c r="T161" s="244">
        <v>223784</v>
      </c>
      <c r="U161" s="767">
        <v>233380</v>
      </c>
      <c r="V161" s="767">
        <f t="shared" si="55"/>
        <v>233380</v>
      </c>
      <c r="W161" s="47">
        <v>111892</v>
      </c>
      <c r="X161" s="47">
        <v>111892</v>
      </c>
      <c r="Y161" s="47">
        <v>111892</v>
      </c>
      <c r="Z161" s="47">
        <v>111892</v>
      </c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</row>
    <row r="162" spans="1:87" s="3" customFormat="1" ht="81">
      <c r="A162" s="967"/>
      <c r="B162" s="972"/>
      <c r="C162" s="973"/>
      <c r="D162" s="973"/>
      <c r="E162" s="973"/>
      <c r="F162" s="973"/>
      <c r="G162" s="973"/>
      <c r="H162" s="974"/>
      <c r="I162" s="847"/>
      <c r="J162" s="856"/>
      <c r="K162" s="848"/>
      <c r="L162" s="848"/>
      <c r="M162" s="156" t="s">
        <v>734</v>
      </c>
      <c r="N162" s="603" t="s">
        <v>326</v>
      </c>
      <c r="O162" s="242">
        <v>245</v>
      </c>
      <c r="P162" s="242">
        <v>2077.9</v>
      </c>
      <c r="Q162" s="242">
        <f t="shared" si="54"/>
        <v>509086</v>
      </c>
      <c r="R162" s="243">
        <v>509086</v>
      </c>
      <c r="S162" s="244">
        <v>509086</v>
      </c>
      <c r="T162" s="244">
        <v>509086</v>
      </c>
      <c r="U162" s="767">
        <v>91441.14</v>
      </c>
      <c r="V162" s="767">
        <f t="shared" si="55"/>
        <v>91441.14</v>
      </c>
      <c r="W162" s="47">
        <v>254543</v>
      </c>
      <c r="X162" s="47">
        <v>254543</v>
      </c>
      <c r="Y162" s="47">
        <v>254543</v>
      </c>
      <c r="Z162" s="47">
        <v>254543</v>
      </c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</row>
    <row r="163" spans="1:87" s="3" customFormat="1" ht="81">
      <c r="A163" s="967"/>
      <c r="B163" s="972"/>
      <c r="C163" s="973"/>
      <c r="D163" s="973"/>
      <c r="E163" s="973"/>
      <c r="F163" s="973"/>
      <c r="G163" s="973"/>
      <c r="H163" s="974"/>
      <c r="I163" s="847"/>
      <c r="J163" s="856"/>
      <c r="K163" s="848"/>
      <c r="L163" s="848"/>
      <c r="M163" s="156" t="s">
        <v>737</v>
      </c>
      <c r="N163" s="603" t="s">
        <v>326</v>
      </c>
      <c r="O163" s="242">
        <v>50</v>
      </c>
      <c r="P163" s="242">
        <v>15667</v>
      </c>
      <c r="Q163" s="242">
        <f t="shared" si="54"/>
        <v>783350</v>
      </c>
      <c r="R163" s="243">
        <v>783350</v>
      </c>
      <c r="S163" s="244">
        <v>783350</v>
      </c>
      <c r="T163" s="244">
        <v>783350</v>
      </c>
      <c r="U163" s="767">
        <v>41950</v>
      </c>
      <c r="V163" s="767">
        <v>41950</v>
      </c>
      <c r="W163" s="47">
        <v>391675</v>
      </c>
      <c r="X163" s="47">
        <v>391675</v>
      </c>
      <c r="Y163" s="47">
        <v>391675</v>
      </c>
      <c r="Z163" s="47">
        <v>391675</v>
      </c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</row>
    <row r="164" spans="1:87" s="3" customFormat="1" ht="101.25">
      <c r="A164" s="967"/>
      <c r="B164" s="972"/>
      <c r="C164" s="973"/>
      <c r="D164" s="973"/>
      <c r="E164" s="973"/>
      <c r="F164" s="973"/>
      <c r="G164" s="973"/>
      <c r="H164" s="974"/>
      <c r="I164" s="847"/>
      <c r="J164" s="856"/>
      <c r="K164" s="848"/>
      <c r="L164" s="848"/>
      <c r="M164" s="156" t="s">
        <v>738</v>
      </c>
      <c r="N164" s="603" t="s">
        <v>245</v>
      </c>
      <c r="O164" s="242">
        <v>48</v>
      </c>
      <c r="P164" s="242">
        <v>9153</v>
      </c>
      <c r="Q164" s="242">
        <f t="shared" si="54"/>
        <v>439344</v>
      </c>
      <c r="R164" s="243">
        <v>439344</v>
      </c>
      <c r="S164" s="244">
        <v>439344</v>
      </c>
      <c r="T164" s="244">
        <v>439344</v>
      </c>
      <c r="U164" s="767">
        <v>22000</v>
      </c>
      <c r="V164" s="767">
        <f t="shared" si="55"/>
        <v>22000</v>
      </c>
      <c r="W164" s="47">
        <v>219672</v>
      </c>
      <c r="X164" s="47">
        <v>219672</v>
      </c>
      <c r="Y164" s="47">
        <v>219672</v>
      </c>
      <c r="Z164" s="47">
        <v>219672</v>
      </c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</row>
    <row r="165" spans="1:87" s="3" customFormat="1" ht="40.5">
      <c r="A165" s="967"/>
      <c r="B165" s="972"/>
      <c r="C165" s="973"/>
      <c r="D165" s="973"/>
      <c r="E165" s="973"/>
      <c r="F165" s="973"/>
      <c r="G165" s="973"/>
      <c r="H165" s="974"/>
      <c r="I165" s="847"/>
      <c r="J165" s="856"/>
      <c r="K165" s="848"/>
      <c r="L165" s="848"/>
      <c r="M165" s="156" t="s">
        <v>734</v>
      </c>
      <c r="N165" s="603" t="s">
        <v>245</v>
      </c>
      <c r="O165" s="242">
        <v>78</v>
      </c>
      <c r="P165" s="242">
        <v>15324.5</v>
      </c>
      <c r="Q165" s="242">
        <f t="shared" si="54"/>
        <v>1195311</v>
      </c>
      <c r="R165" s="243">
        <v>1195311</v>
      </c>
      <c r="S165" s="244">
        <v>1195311</v>
      </c>
      <c r="T165" s="244">
        <v>1195311</v>
      </c>
      <c r="U165" s="767">
        <v>263779</v>
      </c>
      <c r="V165" s="767">
        <f t="shared" si="55"/>
        <v>263779</v>
      </c>
      <c r="W165" s="47">
        <v>597655.5</v>
      </c>
      <c r="X165" s="47">
        <v>597655.5</v>
      </c>
      <c r="Y165" s="47">
        <v>597655.5</v>
      </c>
      <c r="Z165" s="47">
        <v>597655.5</v>
      </c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</row>
    <row r="166" spans="1:87" s="3" customFormat="1" ht="81">
      <c r="A166" s="967"/>
      <c r="B166" s="972"/>
      <c r="C166" s="973"/>
      <c r="D166" s="973"/>
      <c r="E166" s="973"/>
      <c r="F166" s="973"/>
      <c r="G166" s="973"/>
      <c r="H166" s="974"/>
      <c r="I166" s="847"/>
      <c r="J166" s="856"/>
      <c r="K166" s="848"/>
      <c r="L166" s="848"/>
      <c r="M166" s="156" t="s">
        <v>730</v>
      </c>
      <c r="N166" s="603" t="s">
        <v>245</v>
      </c>
      <c r="O166" s="242">
        <v>60</v>
      </c>
      <c r="P166" s="242">
        <v>22262.13</v>
      </c>
      <c r="Q166" s="242">
        <f t="shared" si="54"/>
        <v>1335728</v>
      </c>
      <c r="R166" s="243">
        <v>1335728</v>
      </c>
      <c r="S166" s="244">
        <v>1335728</v>
      </c>
      <c r="T166" s="244">
        <v>1335728</v>
      </c>
      <c r="U166" s="767">
        <v>655622.5</v>
      </c>
      <c r="V166" s="767">
        <f t="shared" si="55"/>
        <v>655622.5</v>
      </c>
      <c r="W166" s="47">
        <v>667864</v>
      </c>
      <c r="X166" s="47">
        <v>667864</v>
      </c>
      <c r="Y166" s="47">
        <v>667864</v>
      </c>
      <c r="Z166" s="47">
        <v>667864</v>
      </c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</row>
    <row r="167" spans="1:87" s="3" customFormat="1" ht="101.25">
      <c r="A167" s="967"/>
      <c r="B167" s="972"/>
      <c r="C167" s="973"/>
      <c r="D167" s="973"/>
      <c r="E167" s="973"/>
      <c r="F167" s="973"/>
      <c r="G167" s="973"/>
      <c r="H167" s="974"/>
      <c r="I167" s="847"/>
      <c r="J167" s="856"/>
      <c r="K167" s="848"/>
      <c r="L167" s="848"/>
      <c r="M167" s="156" t="s">
        <v>739</v>
      </c>
      <c r="N167" s="603" t="s">
        <v>254</v>
      </c>
      <c r="O167" s="242">
        <v>145</v>
      </c>
      <c r="P167" s="242">
        <v>3278.99</v>
      </c>
      <c r="Q167" s="242">
        <f t="shared" si="54"/>
        <v>475454</v>
      </c>
      <c r="R167" s="243">
        <v>475454</v>
      </c>
      <c r="S167" s="244">
        <v>475454</v>
      </c>
      <c r="T167" s="244">
        <v>475454</v>
      </c>
      <c r="U167" s="767">
        <v>199326</v>
      </c>
      <c r="V167" s="767">
        <f t="shared" si="55"/>
        <v>199326</v>
      </c>
      <c r="W167" s="47">
        <v>237727</v>
      </c>
      <c r="X167" s="47">
        <v>237727</v>
      </c>
      <c r="Y167" s="47">
        <v>237727</v>
      </c>
      <c r="Z167" s="47">
        <v>237727</v>
      </c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</row>
    <row r="168" spans="1:87" s="3" customFormat="1" ht="69" customHeight="1">
      <c r="A168" s="967"/>
      <c r="B168" s="972"/>
      <c r="C168" s="973"/>
      <c r="D168" s="973"/>
      <c r="E168" s="973"/>
      <c r="F168" s="973"/>
      <c r="G168" s="973"/>
      <c r="H168" s="974"/>
      <c r="I168" s="847"/>
      <c r="J168" s="856"/>
      <c r="K168" s="848"/>
      <c r="L168" s="848"/>
      <c r="M168" s="156" t="s">
        <v>736</v>
      </c>
      <c r="N168" s="603" t="s">
        <v>245</v>
      </c>
      <c r="O168" s="242">
        <v>30</v>
      </c>
      <c r="P168" s="242">
        <v>14829.17</v>
      </c>
      <c r="Q168" s="242">
        <f t="shared" si="54"/>
        <v>444875</v>
      </c>
      <c r="R168" s="243">
        <v>444875</v>
      </c>
      <c r="S168" s="244">
        <v>444875</v>
      </c>
      <c r="T168" s="244">
        <v>444875</v>
      </c>
      <c r="U168" s="767">
        <v>570626</v>
      </c>
      <c r="V168" s="767">
        <f t="shared" si="55"/>
        <v>570626</v>
      </c>
      <c r="W168" s="47">
        <v>222437.5</v>
      </c>
      <c r="X168" s="47">
        <v>222437.5</v>
      </c>
      <c r="Y168" s="47">
        <v>222437.5</v>
      </c>
      <c r="Z168" s="47">
        <v>222437.5</v>
      </c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</row>
    <row r="169" spans="1:87" s="3" customFormat="1" ht="48.75" customHeight="1">
      <c r="A169" s="967"/>
      <c r="B169" s="972"/>
      <c r="C169" s="973"/>
      <c r="D169" s="973"/>
      <c r="E169" s="973"/>
      <c r="F169" s="973"/>
      <c r="G169" s="973"/>
      <c r="H169" s="974"/>
      <c r="I169" s="847"/>
      <c r="J169" s="856"/>
      <c r="K169" s="848"/>
      <c r="L169" s="848"/>
      <c r="M169" s="156" t="s">
        <v>735</v>
      </c>
      <c r="N169" s="603" t="s">
        <v>245</v>
      </c>
      <c r="O169" s="242">
        <v>11</v>
      </c>
      <c r="P169" s="242">
        <v>62764.42</v>
      </c>
      <c r="Q169" s="242">
        <f t="shared" si="54"/>
        <v>690409</v>
      </c>
      <c r="R169" s="243">
        <v>690409</v>
      </c>
      <c r="S169" s="244">
        <v>690409</v>
      </c>
      <c r="T169" s="244">
        <v>690409</v>
      </c>
      <c r="U169" s="767">
        <v>700000</v>
      </c>
      <c r="V169" s="767">
        <f t="shared" si="55"/>
        <v>700000</v>
      </c>
      <c r="W169" s="47">
        <v>345204.5</v>
      </c>
      <c r="X169" s="47">
        <v>345204.5</v>
      </c>
      <c r="Y169" s="47">
        <v>345204.5</v>
      </c>
      <c r="Z169" s="47">
        <v>345204.5</v>
      </c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</row>
    <row r="170" spans="1:87" s="3" customFormat="1" ht="76.5" customHeight="1">
      <c r="A170" s="967"/>
      <c r="B170" s="972"/>
      <c r="C170" s="973"/>
      <c r="D170" s="973"/>
      <c r="E170" s="973"/>
      <c r="F170" s="973"/>
      <c r="G170" s="973"/>
      <c r="H170" s="974"/>
      <c r="I170" s="847"/>
      <c r="J170" s="856"/>
      <c r="K170" s="848"/>
      <c r="L170" s="848"/>
      <c r="M170" s="156" t="s">
        <v>658</v>
      </c>
      <c r="N170" s="603" t="s">
        <v>245</v>
      </c>
      <c r="O170" s="242">
        <v>20</v>
      </c>
      <c r="P170" s="242">
        <v>500000</v>
      </c>
      <c r="Q170" s="242">
        <f t="shared" si="54"/>
        <v>10000000</v>
      </c>
      <c r="R170" s="243">
        <v>10000000</v>
      </c>
      <c r="S170" s="244">
        <v>10000000</v>
      </c>
      <c r="T170" s="244">
        <v>10000000</v>
      </c>
      <c r="U170" s="767">
        <v>9361914.19</v>
      </c>
      <c r="V170" s="767">
        <f t="shared" si="55"/>
        <v>9361914.19</v>
      </c>
      <c r="W170" s="47">
        <v>5000000</v>
      </c>
      <c r="X170" s="47">
        <v>5000000</v>
      </c>
      <c r="Y170" s="47">
        <v>5000000</v>
      </c>
      <c r="Z170" s="47">
        <v>5000000</v>
      </c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</row>
    <row r="171" spans="1:87" s="3" customFormat="1" ht="69" customHeight="1">
      <c r="A171" s="967"/>
      <c r="B171" s="972"/>
      <c r="C171" s="973"/>
      <c r="D171" s="973"/>
      <c r="E171" s="973"/>
      <c r="F171" s="973"/>
      <c r="G171" s="973"/>
      <c r="H171" s="974"/>
      <c r="I171" s="979" t="s">
        <v>632</v>
      </c>
      <c r="J171" s="236">
        <v>19400939.31</v>
      </c>
      <c r="K171" s="236">
        <v>8487775</v>
      </c>
      <c r="L171" s="230" t="s">
        <v>11</v>
      </c>
      <c r="M171" s="231" t="s">
        <v>696</v>
      </c>
      <c r="N171" s="603"/>
      <c r="O171" s="232" t="e">
        <f>#REF!+#REF!+#REF!</f>
        <v>#REF!</v>
      </c>
      <c r="P171" s="229"/>
      <c r="Q171" s="236" t="e">
        <f>#REF!+#REF!+#REF!</f>
        <v>#REF!</v>
      </c>
      <c r="R171" s="234" t="e">
        <f>#REF!+#REF!+#REF!</f>
        <v>#REF!</v>
      </c>
      <c r="S171" s="234" t="e">
        <f>#REF!+#REF!+#REF!</f>
        <v>#REF!</v>
      </c>
      <c r="T171" s="234" t="e">
        <f>#REF!+#REF!+#REF!</f>
        <v>#REF!</v>
      </c>
      <c r="U171" s="98">
        <v>30950500</v>
      </c>
      <c r="V171" s="98">
        <v>30950500</v>
      </c>
      <c r="W171" s="98">
        <v>9722500</v>
      </c>
      <c r="X171" s="98">
        <v>9722500</v>
      </c>
      <c r="Y171" s="98">
        <v>9722500</v>
      </c>
      <c r="Z171" s="98">
        <v>9722500</v>
      </c>
      <c r="AA171" s="1">
        <v>19445000</v>
      </c>
      <c r="AB171" s="1">
        <v>19445000</v>
      </c>
      <c r="AC171" s="1">
        <v>9722500</v>
      </c>
      <c r="AD171" s="1">
        <v>9722500</v>
      </c>
      <c r="AE171" s="1">
        <v>9722500</v>
      </c>
      <c r="AF171" s="1">
        <v>9722500</v>
      </c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</row>
    <row r="172" spans="1:87" s="3" customFormat="1" ht="66.75" customHeight="1">
      <c r="A172" s="968"/>
      <c r="B172" s="975"/>
      <c r="C172" s="976"/>
      <c r="D172" s="976"/>
      <c r="E172" s="976"/>
      <c r="F172" s="976"/>
      <c r="G172" s="976"/>
      <c r="H172" s="977"/>
      <c r="I172" s="980"/>
      <c r="J172" s="236"/>
      <c r="K172" s="236"/>
      <c r="L172" s="230"/>
      <c r="M172" s="231" t="s">
        <v>740</v>
      </c>
      <c r="N172" s="603"/>
      <c r="O172" s="232"/>
      <c r="P172" s="229"/>
      <c r="Q172" s="236"/>
      <c r="R172" s="234"/>
      <c r="S172" s="234"/>
      <c r="T172" s="234"/>
      <c r="U172" s="98">
        <v>820000</v>
      </c>
      <c r="V172" s="98">
        <v>820000</v>
      </c>
      <c r="W172" s="98">
        <v>3085158</v>
      </c>
      <c r="X172" s="98">
        <v>3085158</v>
      </c>
      <c r="Y172" s="98">
        <v>3085158</v>
      </c>
      <c r="Z172" s="98">
        <v>3085158</v>
      </c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</row>
    <row r="173" spans="1:87" s="3" customFormat="1" ht="315" customHeight="1">
      <c r="A173" s="225" t="s">
        <v>69</v>
      </c>
      <c r="B173" s="690" t="s">
        <v>6</v>
      </c>
      <c r="C173" s="690" t="s">
        <v>7</v>
      </c>
      <c r="D173" s="690" t="s">
        <v>70</v>
      </c>
      <c r="E173" s="690" t="s">
        <v>8</v>
      </c>
      <c r="F173" s="690" t="s">
        <v>71</v>
      </c>
      <c r="G173" s="690" t="s">
        <v>484</v>
      </c>
      <c r="H173" s="690" t="s">
        <v>9</v>
      </c>
      <c r="I173" s="226" t="s">
        <v>72</v>
      </c>
      <c r="J173" s="246" t="e">
        <f>J174+J181+J213+J221+J263</f>
        <v>#REF!</v>
      </c>
      <c r="K173" s="246" t="e">
        <f>K174+K181+K213+K221+K263</f>
        <v>#REF!</v>
      </c>
      <c r="L173" s="246"/>
      <c r="M173" s="246"/>
      <c r="N173" s="604"/>
      <c r="O173" s="246"/>
      <c r="P173" s="246"/>
      <c r="Q173" s="246" t="e">
        <f aca="true" t="shared" si="56" ref="Q173:Z173">Q174+Q181+Q213+Q221+Q263</f>
        <v>#REF!</v>
      </c>
      <c r="R173" s="247" t="e">
        <f t="shared" si="56"/>
        <v>#REF!</v>
      </c>
      <c r="S173" s="247" t="e">
        <f t="shared" si="56"/>
        <v>#REF!</v>
      </c>
      <c r="T173" s="247" t="e">
        <f t="shared" si="56"/>
        <v>#REF!</v>
      </c>
      <c r="U173" s="99">
        <f t="shared" si="56"/>
        <v>15975000</v>
      </c>
      <c r="V173" s="99">
        <f t="shared" si="56"/>
        <v>15975000</v>
      </c>
      <c r="W173" s="99">
        <f t="shared" si="56"/>
        <v>7987500</v>
      </c>
      <c r="X173" s="99">
        <f t="shared" si="56"/>
        <v>7987500</v>
      </c>
      <c r="Y173" s="99">
        <f t="shared" si="56"/>
        <v>7987500</v>
      </c>
      <c r="Z173" s="99">
        <f t="shared" si="56"/>
        <v>7987500</v>
      </c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</row>
    <row r="174" spans="1:87" s="3" customFormat="1" ht="23.25">
      <c r="A174" s="940" t="s">
        <v>18</v>
      </c>
      <c r="B174" s="960"/>
      <c r="C174" s="858"/>
      <c r="D174" s="858"/>
      <c r="E174" s="858"/>
      <c r="F174" s="858"/>
      <c r="G174" s="858"/>
      <c r="H174" s="858"/>
      <c r="I174" s="949" t="s">
        <v>633</v>
      </c>
      <c r="J174" s="961">
        <v>60000</v>
      </c>
      <c r="K174" s="962">
        <v>100020</v>
      </c>
      <c r="L174" s="942" t="s">
        <v>19</v>
      </c>
      <c r="M174" s="250"/>
      <c r="N174" s="605"/>
      <c r="O174" s="251">
        <f aca="true" t="shared" si="57" ref="O174:Z174">O180+O179+O178+O177+O176+O175</f>
        <v>6632</v>
      </c>
      <c r="P174" s="251">
        <f t="shared" si="57"/>
        <v>39706.67</v>
      </c>
      <c r="Q174" s="251">
        <f t="shared" si="57"/>
        <v>256822</v>
      </c>
      <c r="R174" s="252">
        <f>R180+R179+R178+R177+R176+R175</f>
        <v>256822</v>
      </c>
      <c r="S174" s="252">
        <f t="shared" si="57"/>
        <v>256822</v>
      </c>
      <c r="T174" s="252">
        <f t="shared" si="57"/>
        <v>256822</v>
      </c>
      <c r="U174" s="100">
        <f t="shared" si="57"/>
        <v>100020</v>
      </c>
      <c r="V174" s="100">
        <f t="shared" si="57"/>
        <v>100020</v>
      </c>
      <c r="W174" s="100">
        <f t="shared" si="57"/>
        <v>50010</v>
      </c>
      <c r="X174" s="100">
        <f t="shared" si="57"/>
        <v>50010</v>
      </c>
      <c r="Y174" s="100">
        <f t="shared" si="57"/>
        <v>50010</v>
      </c>
      <c r="Z174" s="100">
        <f t="shared" si="57"/>
        <v>50010</v>
      </c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</row>
    <row r="175" spans="1:87" s="3" customFormat="1" ht="33" customHeight="1">
      <c r="A175" s="856"/>
      <c r="B175" s="858"/>
      <c r="C175" s="858"/>
      <c r="D175" s="858"/>
      <c r="E175" s="858"/>
      <c r="F175" s="858"/>
      <c r="G175" s="858"/>
      <c r="H175" s="858"/>
      <c r="I175" s="858"/>
      <c r="J175" s="858"/>
      <c r="K175" s="827"/>
      <c r="L175" s="827"/>
      <c r="M175" s="253" t="s">
        <v>654</v>
      </c>
      <c r="N175" s="606" t="s">
        <v>659</v>
      </c>
      <c r="O175" s="251">
        <v>6600</v>
      </c>
      <c r="P175" s="255">
        <v>6.67</v>
      </c>
      <c r="Q175" s="251">
        <v>44022</v>
      </c>
      <c r="R175" s="252">
        <v>44022</v>
      </c>
      <c r="S175" s="252">
        <v>44022</v>
      </c>
      <c r="T175" s="252">
        <v>44022</v>
      </c>
      <c r="U175" s="88">
        <v>19620</v>
      </c>
      <c r="V175" s="88">
        <f aca="true" t="shared" si="58" ref="V175:V180">U175</f>
        <v>19620</v>
      </c>
      <c r="W175" s="88">
        <f aca="true" t="shared" si="59" ref="W175:W180">U175/2</f>
        <v>9810</v>
      </c>
      <c r="X175" s="88">
        <f aca="true" t="shared" si="60" ref="X175:X180">W175</f>
        <v>9810</v>
      </c>
      <c r="Y175" s="88">
        <f aca="true" t="shared" si="61" ref="Y175:Y180">U175/2</f>
        <v>9810</v>
      </c>
      <c r="Z175" s="88">
        <f aca="true" t="shared" si="62" ref="Z175:Z180">Y175</f>
        <v>9810</v>
      </c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</row>
    <row r="176" spans="1:87" s="3" customFormat="1" ht="40.5">
      <c r="A176" s="856"/>
      <c r="B176" s="858"/>
      <c r="C176" s="858"/>
      <c r="D176" s="858"/>
      <c r="E176" s="858"/>
      <c r="F176" s="858"/>
      <c r="G176" s="858"/>
      <c r="H176" s="858"/>
      <c r="I176" s="858"/>
      <c r="J176" s="858"/>
      <c r="K176" s="827"/>
      <c r="L176" s="827"/>
      <c r="M176" s="253" t="s">
        <v>662</v>
      </c>
      <c r="N176" s="606" t="s">
        <v>245</v>
      </c>
      <c r="O176" s="256">
        <v>7</v>
      </c>
      <c r="P176" s="257">
        <v>8800</v>
      </c>
      <c r="Q176" s="258">
        <v>61600</v>
      </c>
      <c r="R176" s="259">
        <v>61600</v>
      </c>
      <c r="S176" s="260">
        <v>61600</v>
      </c>
      <c r="T176" s="260">
        <v>61600</v>
      </c>
      <c r="U176" s="88">
        <v>26400</v>
      </c>
      <c r="V176" s="88">
        <f t="shared" si="58"/>
        <v>26400</v>
      </c>
      <c r="W176" s="88">
        <f t="shared" si="59"/>
        <v>13200</v>
      </c>
      <c r="X176" s="88">
        <f t="shared" si="60"/>
        <v>13200</v>
      </c>
      <c r="Y176" s="88">
        <f t="shared" si="61"/>
        <v>13200</v>
      </c>
      <c r="Z176" s="88">
        <f t="shared" si="62"/>
        <v>13200</v>
      </c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</row>
    <row r="177" spans="1:87" s="3" customFormat="1" ht="101.25">
      <c r="A177" s="856"/>
      <c r="B177" s="858"/>
      <c r="C177" s="858"/>
      <c r="D177" s="858"/>
      <c r="E177" s="858"/>
      <c r="F177" s="858"/>
      <c r="G177" s="858"/>
      <c r="H177" s="858"/>
      <c r="I177" s="858"/>
      <c r="J177" s="858"/>
      <c r="K177" s="827"/>
      <c r="L177" s="827"/>
      <c r="M177" s="253" t="s">
        <v>246</v>
      </c>
      <c r="N177" s="606" t="s">
        <v>660</v>
      </c>
      <c r="O177" s="256">
        <v>8</v>
      </c>
      <c r="P177" s="257">
        <v>4900</v>
      </c>
      <c r="Q177" s="258">
        <v>39200</v>
      </c>
      <c r="R177" s="259">
        <v>39200</v>
      </c>
      <c r="S177" s="260">
        <v>39200</v>
      </c>
      <c r="T177" s="260">
        <v>39200</v>
      </c>
      <c r="U177" s="88">
        <v>18000</v>
      </c>
      <c r="V177" s="88">
        <f t="shared" si="58"/>
        <v>18000</v>
      </c>
      <c r="W177" s="88">
        <f t="shared" si="59"/>
        <v>9000</v>
      </c>
      <c r="X177" s="88">
        <f t="shared" si="60"/>
        <v>9000</v>
      </c>
      <c r="Y177" s="88">
        <f t="shared" si="61"/>
        <v>9000</v>
      </c>
      <c r="Z177" s="88">
        <f t="shared" si="62"/>
        <v>9000</v>
      </c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</row>
    <row r="178" spans="1:87" s="3" customFormat="1" ht="37.5" customHeight="1">
      <c r="A178" s="856"/>
      <c r="B178" s="858"/>
      <c r="C178" s="858"/>
      <c r="D178" s="858"/>
      <c r="E178" s="858"/>
      <c r="F178" s="858"/>
      <c r="G178" s="858"/>
      <c r="H178" s="858"/>
      <c r="I178" s="858"/>
      <c r="J178" s="858"/>
      <c r="K178" s="827"/>
      <c r="L178" s="827"/>
      <c r="M178" s="253" t="s">
        <v>247</v>
      </c>
      <c r="N178" s="606" t="s">
        <v>660</v>
      </c>
      <c r="O178" s="256">
        <v>2</v>
      </c>
      <c r="P178" s="257">
        <v>15000</v>
      </c>
      <c r="Q178" s="258">
        <v>30000</v>
      </c>
      <c r="R178" s="259">
        <v>30000</v>
      </c>
      <c r="S178" s="260">
        <v>30000</v>
      </c>
      <c r="T178" s="260">
        <v>30000</v>
      </c>
      <c r="U178" s="88">
        <v>15000</v>
      </c>
      <c r="V178" s="88">
        <f t="shared" si="58"/>
        <v>15000</v>
      </c>
      <c r="W178" s="88">
        <f t="shared" si="59"/>
        <v>7500</v>
      </c>
      <c r="X178" s="88">
        <f t="shared" si="60"/>
        <v>7500</v>
      </c>
      <c r="Y178" s="88">
        <f t="shared" si="61"/>
        <v>7500</v>
      </c>
      <c r="Z178" s="88">
        <f t="shared" si="62"/>
        <v>7500</v>
      </c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</row>
    <row r="179" spans="1:87" s="3" customFormat="1" ht="101.25">
      <c r="A179" s="856"/>
      <c r="B179" s="858"/>
      <c r="C179" s="858"/>
      <c r="D179" s="858"/>
      <c r="E179" s="858"/>
      <c r="F179" s="858"/>
      <c r="G179" s="858"/>
      <c r="H179" s="858"/>
      <c r="I179" s="858"/>
      <c r="J179" s="858"/>
      <c r="K179" s="827"/>
      <c r="L179" s="827"/>
      <c r="M179" s="253" t="s">
        <v>248</v>
      </c>
      <c r="N179" s="606" t="s">
        <v>660</v>
      </c>
      <c r="O179" s="256">
        <v>7</v>
      </c>
      <c r="P179" s="257">
        <v>6000</v>
      </c>
      <c r="Q179" s="258">
        <v>42000</v>
      </c>
      <c r="R179" s="259">
        <v>42000</v>
      </c>
      <c r="S179" s="260">
        <v>42000</v>
      </c>
      <c r="T179" s="260">
        <v>42000</v>
      </c>
      <c r="U179" s="88">
        <v>6000</v>
      </c>
      <c r="V179" s="88">
        <f t="shared" si="58"/>
        <v>6000</v>
      </c>
      <c r="W179" s="88">
        <f t="shared" si="59"/>
        <v>3000</v>
      </c>
      <c r="X179" s="88">
        <f t="shared" si="60"/>
        <v>3000</v>
      </c>
      <c r="Y179" s="88">
        <f t="shared" si="61"/>
        <v>3000</v>
      </c>
      <c r="Z179" s="88">
        <f t="shared" si="62"/>
        <v>3000</v>
      </c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</row>
    <row r="180" spans="1:87" s="3" customFormat="1" ht="42.75" customHeight="1">
      <c r="A180" s="856"/>
      <c r="B180" s="858"/>
      <c r="C180" s="858"/>
      <c r="D180" s="858"/>
      <c r="E180" s="858"/>
      <c r="F180" s="858"/>
      <c r="G180" s="858"/>
      <c r="H180" s="858"/>
      <c r="I180" s="858"/>
      <c r="J180" s="858"/>
      <c r="K180" s="827"/>
      <c r="L180" s="827"/>
      <c r="M180" s="253" t="s">
        <v>249</v>
      </c>
      <c r="N180" s="607" t="s">
        <v>661</v>
      </c>
      <c r="O180" s="256">
        <v>8</v>
      </c>
      <c r="P180" s="257">
        <v>5000</v>
      </c>
      <c r="Q180" s="258">
        <v>40000</v>
      </c>
      <c r="R180" s="259">
        <v>40000</v>
      </c>
      <c r="S180" s="260">
        <v>40000</v>
      </c>
      <c r="T180" s="260">
        <v>40000</v>
      </c>
      <c r="U180" s="88">
        <v>15000</v>
      </c>
      <c r="V180" s="88">
        <f t="shared" si="58"/>
        <v>15000</v>
      </c>
      <c r="W180" s="88">
        <f t="shared" si="59"/>
        <v>7500</v>
      </c>
      <c r="X180" s="88">
        <f t="shared" si="60"/>
        <v>7500</v>
      </c>
      <c r="Y180" s="88">
        <f t="shared" si="61"/>
        <v>7500</v>
      </c>
      <c r="Z180" s="88">
        <f t="shared" si="62"/>
        <v>7500</v>
      </c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</row>
    <row r="181" spans="1:87" s="3" customFormat="1" ht="23.25">
      <c r="A181" s="940" t="s">
        <v>73</v>
      </c>
      <c r="B181" s="956"/>
      <c r="C181" s="858"/>
      <c r="D181" s="858"/>
      <c r="E181" s="858"/>
      <c r="F181" s="858"/>
      <c r="G181" s="858"/>
      <c r="H181" s="858"/>
      <c r="I181" s="261" t="s">
        <v>16</v>
      </c>
      <c r="J181" s="262" t="e">
        <f>J182+#REF!</f>
        <v>#REF!</v>
      </c>
      <c r="K181" s="262" t="e">
        <f>K182+#REF!</f>
        <v>#REF!</v>
      </c>
      <c r="L181" s="263"/>
      <c r="M181" s="263"/>
      <c r="N181" s="608"/>
      <c r="O181" s="264" t="e">
        <f>O182+#REF!</f>
        <v>#REF!</v>
      </c>
      <c r="P181" s="264" t="e">
        <f>P182+#REF!</f>
        <v>#REF!</v>
      </c>
      <c r="Q181" s="264" t="e">
        <f>Q182+#REF!</f>
        <v>#REF!</v>
      </c>
      <c r="R181" s="265" t="e">
        <f>R182+#REF!</f>
        <v>#REF!</v>
      </c>
      <c r="S181" s="266" t="e">
        <f>S182+#REF!</f>
        <v>#REF!</v>
      </c>
      <c r="T181" s="266" t="e">
        <f>T182+#REF!</f>
        <v>#REF!</v>
      </c>
      <c r="U181" s="101">
        <f>U182</f>
        <v>9925350</v>
      </c>
      <c r="V181" s="101">
        <f>V182</f>
        <v>9925350</v>
      </c>
      <c r="W181" s="101">
        <f>W192</f>
        <v>4962675</v>
      </c>
      <c r="X181" s="101">
        <f>X192</f>
        <v>4962675</v>
      </c>
      <c r="Y181" s="101">
        <f>Y210</f>
        <v>4962675</v>
      </c>
      <c r="Z181" s="101">
        <f>Z210</f>
        <v>4962675</v>
      </c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</row>
    <row r="182" spans="1:87" s="3" customFormat="1" ht="40.5">
      <c r="A182" s="847"/>
      <c r="B182" s="858"/>
      <c r="C182" s="858"/>
      <c r="D182" s="858"/>
      <c r="E182" s="858"/>
      <c r="F182" s="858"/>
      <c r="G182" s="858"/>
      <c r="H182" s="858"/>
      <c r="I182" s="957" t="s">
        <v>634</v>
      </c>
      <c r="J182" s="958">
        <v>1613333.67</v>
      </c>
      <c r="K182" s="959">
        <v>8321350</v>
      </c>
      <c r="L182" s="949" t="s">
        <v>17</v>
      </c>
      <c r="M182" s="249" t="s">
        <v>327</v>
      </c>
      <c r="N182" s="609"/>
      <c r="O182" s="267" t="e">
        <f>#REF!+O183+O185+#REF!+#REF!+#REF!+O187+O189</f>
        <v>#REF!</v>
      </c>
      <c r="P182" s="267" t="e">
        <f>Q182/O182</f>
        <v>#REF!</v>
      </c>
      <c r="Q182" s="267" t="e">
        <f>#REF!+Q183+Q185+#REF!+#REF!+#REF!+Q187+Q189</f>
        <v>#REF!</v>
      </c>
      <c r="R182" s="268" t="e">
        <f>#REF!+R183+R185+#REF!+#REF!+#REF!+R187+R189</f>
        <v>#REF!</v>
      </c>
      <c r="S182" s="269">
        <v>9362500</v>
      </c>
      <c r="T182" s="269">
        <v>22700500</v>
      </c>
      <c r="U182" s="102">
        <f aca="true" t="shared" si="63" ref="U182:Z182">U183+U185+U187+U189</f>
        <v>9925350</v>
      </c>
      <c r="V182" s="102">
        <f t="shared" si="63"/>
        <v>9925350</v>
      </c>
      <c r="W182" s="102">
        <f t="shared" si="63"/>
        <v>0</v>
      </c>
      <c r="X182" s="102">
        <f t="shared" si="63"/>
        <v>0</v>
      </c>
      <c r="Y182" s="102">
        <f t="shared" si="63"/>
        <v>0</v>
      </c>
      <c r="Z182" s="102">
        <f t="shared" si="63"/>
        <v>0</v>
      </c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</row>
    <row r="183" spans="1:87" s="3" customFormat="1" ht="81">
      <c r="A183" s="847"/>
      <c r="B183" s="858"/>
      <c r="C183" s="858"/>
      <c r="D183" s="858"/>
      <c r="E183" s="858"/>
      <c r="F183" s="858"/>
      <c r="G183" s="858"/>
      <c r="H183" s="858"/>
      <c r="I183" s="850"/>
      <c r="J183" s="858"/>
      <c r="K183" s="827"/>
      <c r="L183" s="858"/>
      <c r="M183" s="270" t="s">
        <v>268</v>
      </c>
      <c r="N183" s="610"/>
      <c r="O183" s="271">
        <f>SUM(O184:O184)</f>
        <v>10</v>
      </c>
      <c r="P183" s="271"/>
      <c r="Q183" s="272">
        <f aca="true" t="shared" si="64" ref="Q183:Z183">SUM(Q184:Q184)</f>
        <v>1100000</v>
      </c>
      <c r="R183" s="273">
        <f t="shared" si="64"/>
        <v>1100000</v>
      </c>
      <c r="S183" s="273">
        <f t="shared" si="64"/>
        <v>0</v>
      </c>
      <c r="T183" s="273">
        <f t="shared" si="64"/>
        <v>0</v>
      </c>
      <c r="U183" s="103">
        <f t="shared" si="64"/>
        <v>1100350</v>
      </c>
      <c r="V183" s="103">
        <f t="shared" si="64"/>
        <v>1100350</v>
      </c>
      <c r="W183" s="103">
        <f t="shared" si="64"/>
        <v>0</v>
      </c>
      <c r="X183" s="103">
        <f t="shared" si="64"/>
        <v>0</v>
      </c>
      <c r="Y183" s="103">
        <f t="shared" si="64"/>
        <v>0</v>
      </c>
      <c r="Z183" s="103">
        <f t="shared" si="64"/>
        <v>0</v>
      </c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</row>
    <row r="184" spans="1:87" s="3" customFormat="1" ht="81">
      <c r="A184" s="847"/>
      <c r="B184" s="858"/>
      <c r="C184" s="858"/>
      <c r="D184" s="858"/>
      <c r="E184" s="858"/>
      <c r="F184" s="858"/>
      <c r="G184" s="858"/>
      <c r="H184" s="858"/>
      <c r="I184" s="850"/>
      <c r="J184" s="858"/>
      <c r="K184" s="827"/>
      <c r="L184" s="858"/>
      <c r="M184" s="274" t="s">
        <v>608</v>
      </c>
      <c r="N184" s="611" t="s">
        <v>245</v>
      </c>
      <c r="O184" s="275">
        <v>10</v>
      </c>
      <c r="P184" s="275">
        <v>110000</v>
      </c>
      <c r="Q184" s="276">
        <f>O184*P184</f>
        <v>1100000</v>
      </c>
      <c r="R184" s="277">
        <f>Q184</f>
        <v>1100000</v>
      </c>
      <c r="S184" s="278"/>
      <c r="T184" s="278"/>
      <c r="U184" s="88">
        <v>1100350</v>
      </c>
      <c r="V184" s="88">
        <f>U184</f>
        <v>1100350</v>
      </c>
      <c r="W184" s="88">
        <v>0</v>
      </c>
      <c r="X184" s="88">
        <v>0</v>
      </c>
      <c r="Y184" s="88">
        <v>0</v>
      </c>
      <c r="Z184" s="88">
        <v>0</v>
      </c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</row>
    <row r="185" spans="1:87" s="3" customFormat="1" ht="81">
      <c r="A185" s="847"/>
      <c r="B185" s="858"/>
      <c r="C185" s="858"/>
      <c r="D185" s="858"/>
      <c r="E185" s="858"/>
      <c r="F185" s="858"/>
      <c r="G185" s="858"/>
      <c r="H185" s="858"/>
      <c r="I185" s="850"/>
      <c r="J185" s="858"/>
      <c r="K185" s="827"/>
      <c r="L185" s="858"/>
      <c r="M185" s="270" t="s">
        <v>275</v>
      </c>
      <c r="N185" s="610"/>
      <c r="O185" s="271">
        <f>SUM(O186:O186)</f>
        <v>1</v>
      </c>
      <c r="P185" s="271"/>
      <c r="Q185" s="271">
        <f aca="true" t="shared" si="65" ref="Q185:Z185">SUM(Q186:Q186)</f>
        <v>800000</v>
      </c>
      <c r="R185" s="273">
        <f t="shared" si="65"/>
        <v>800000</v>
      </c>
      <c r="S185" s="273">
        <f t="shared" si="65"/>
        <v>0</v>
      </c>
      <c r="T185" s="273">
        <f t="shared" si="65"/>
        <v>0</v>
      </c>
      <c r="U185" s="103">
        <f t="shared" si="65"/>
        <v>1400000</v>
      </c>
      <c r="V185" s="103">
        <f t="shared" si="65"/>
        <v>1400000</v>
      </c>
      <c r="W185" s="103">
        <f t="shared" si="65"/>
        <v>0</v>
      </c>
      <c r="X185" s="103">
        <f t="shared" si="65"/>
        <v>0</v>
      </c>
      <c r="Y185" s="103">
        <f t="shared" si="65"/>
        <v>0</v>
      </c>
      <c r="Z185" s="103">
        <f t="shared" si="65"/>
        <v>0</v>
      </c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</row>
    <row r="186" spans="1:87" s="3" customFormat="1" ht="110.25" customHeight="1">
      <c r="A186" s="847"/>
      <c r="B186" s="858"/>
      <c r="C186" s="858"/>
      <c r="D186" s="858"/>
      <c r="E186" s="858"/>
      <c r="F186" s="858"/>
      <c r="G186" s="858"/>
      <c r="H186" s="858"/>
      <c r="I186" s="850"/>
      <c r="J186" s="858"/>
      <c r="K186" s="827"/>
      <c r="L186" s="858"/>
      <c r="M186" s="279" t="s">
        <v>786</v>
      </c>
      <c r="N186" s="611" t="s">
        <v>245</v>
      </c>
      <c r="O186" s="276">
        <v>1</v>
      </c>
      <c r="P186" s="276">
        <v>800000</v>
      </c>
      <c r="Q186" s="276">
        <f>P186*O186</f>
        <v>800000</v>
      </c>
      <c r="R186" s="277">
        <f>Q186</f>
        <v>800000</v>
      </c>
      <c r="S186" s="278"/>
      <c r="T186" s="278"/>
      <c r="U186" s="88">
        <v>1400000</v>
      </c>
      <c r="V186" s="88">
        <f>U186</f>
        <v>1400000</v>
      </c>
      <c r="W186" s="88">
        <v>0</v>
      </c>
      <c r="X186" s="88">
        <v>0</v>
      </c>
      <c r="Y186" s="88">
        <v>0</v>
      </c>
      <c r="Z186" s="88">
        <v>0</v>
      </c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</row>
    <row r="187" spans="1:87" s="3" customFormat="1" ht="105.75" customHeight="1">
      <c r="A187" s="847"/>
      <c r="B187" s="858"/>
      <c r="C187" s="858"/>
      <c r="D187" s="858"/>
      <c r="E187" s="858"/>
      <c r="F187" s="858"/>
      <c r="G187" s="858"/>
      <c r="H187" s="858"/>
      <c r="I187" s="850"/>
      <c r="J187" s="858"/>
      <c r="K187" s="827"/>
      <c r="L187" s="858"/>
      <c r="M187" s="270" t="s">
        <v>280</v>
      </c>
      <c r="N187" s="610"/>
      <c r="O187" s="271">
        <f>SUM(O188:O188)</f>
        <v>1</v>
      </c>
      <c r="P187" s="271"/>
      <c r="Q187" s="271">
        <f aca="true" t="shared" si="66" ref="Q187:Z187">SUM(Q188:Q188)</f>
        <v>2200000</v>
      </c>
      <c r="R187" s="273">
        <f t="shared" si="66"/>
        <v>2200000</v>
      </c>
      <c r="S187" s="273">
        <f t="shared" si="66"/>
        <v>0</v>
      </c>
      <c r="T187" s="273">
        <f t="shared" si="66"/>
        <v>0</v>
      </c>
      <c r="U187" s="103">
        <f t="shared" si="66"/>
        <v>6200000</v>
      </c>
      <c r="V187" s="103">
        <f t="shared" si="66"/>
        <v>6200000</v>
      </c>
      <c r="W187" s="103">
        <f t="shared" si="66"/>
        <v>0</v>
      </c>
      <c r="X187" s="103">
        <f t="shared" si="66"/>
        <v>0</v>
      </c>
      <c r="Y187" s="103">
        <f t="shared" si="66"/>
        <v>0</v>
      </c>
      <c r="Z187" s="103">
        <f t="shared" si="66"/>
        <v>0</v>
      </c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</row>
    <row r="188" spans="1:87" s="3" customFormat="1" ht="31.5" customHeight="1">
      <c r="A188" s="847"/>
      <c r="B188" s="858"/>
      <c r="C188" s="858"/>
      <c r="D188" s="858"/>
      <c r="E188" s="858"/>
      <c r="F188" s="858"/>
      <c r="G188" s="858"/>
      <c r="H188" s="858"/>
      <c r="I188" s="850"/>
      <c r="J188" s="858"/>
      <c r="K188" s="827"/>
      <c r="L188" s="858"/>
      <c r="M188" s="274" t="s">
        <v>281</v>
      </c>
      <c r="N188" s="611" t="s">
        <v>245</v>
      </c>
      <c r="O188" s="276">
        <v>1</v>
      </c>
      <c r="P188" s="275">
        <v>2200000</v>
      </c>
      <c r="Q188" s="276">
        <f>P188*O188</f>
        <v>2200000</v>
      </c>
      <c r="R188" s="277">
        <f>1*P188</f>
        <v>2200000</v>
      </c>
      <c r="S188" s="280"/>
      <c r="T188" s="278"/>
      <c r="U188" s="88">
        <v>6200000</v>
      </c>
      <c r="V188" s="88">
        <f>U188</f>
        <v>6200000</v>
      </c>
      <c r="W188" s="88">
        <v>0</v>
      </c>
      <c r="X188" s="88">
        <v>0</v>
      </c>
      <c r="Y188" s="88">
        <v>0</v>
      </c>
      <c r="Z188" s="88">
        <v>0</v>
      </c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</row>
    <row r="189" spans="1:87" s="3" customFormat="1" ht="60.75">
      <c r="A189" s="847"/>
      <c r="B189" s="858"/>
      <c r="C189" s="858"/>
      <c r="D189" s="858"/>
      <c r="E189" s="858"/>
      <c r="F189" s="858"/>
      <c r="G189" s="858"/>
      <c r="H189" s="858"/>
      <c r="I189" s="850"/>
      <c r="J189" s="858"/>
      <c r="K189" s="827"/>
      <c r="L189" s="858"/>
      <c r="M189" s="270" t="s">
        <v>282</v>
      </c>
      <c r="N189" s="610"/>
      <c r="O189" s="272">
        <f>SUM(O190:O191)</f>
        <v>3</v>
      </c>
      <c r="P189" s="272"/>
      <c r="Q189" s="272">
        <f aca="true" t="shared" si="67" ref="Q189:Z189">SUM(Q190:Q191)</f>
        <v>775000</v>
      </c>
      <c r="R189" s="281">
        <f t="shared" si="67"/>
        <v>775000</v>
      </c>
      <c r="S189" s="281">
        <f t="shared" si="67"/>
        <v>0</v>
      </c>
      <c r="T189" s="281">
        <f t="shared" si="67"/>
        <v>0</v>
      </c>
      <c r="U189" s="104">
        <f t="shared" si="67"/>
        <v>1225000</v>
      </c>
      <c r="V189" s="104">
        <f t="shared" si="67"/>
        <v>1225000</v>
      </c>
      <c r="W189" s="104">
        <f t="shared" si="67"/>
        <v>0</v>
      </c>
      <c r="X189" s="104">
        <f t="shared" si="67"/>
        <v>0</v>
      </c>
      <c r="Y189" s="104">
        <f t="shared" si="67"/>
        <v>0</v>
      </c>
      <c r="Z189" s="104">
        <f t="shared" si="67"/>
        <v>0</v>
      </c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</row>
    <row r="190" spans="1:87" s="3" customFormat="1" ht="30.75" customHeight="1">
      <c r="A190" s="847"/>
      <c r="B190" s="858"/>
      <c r="C190" s="858"/>
      <c r="D190" s="858"/>
      <c r="E190" s="858"/>
      <c r="F190" s="858"/>
      <c r="G190" s="858"/>
      <c r="H190" s="858"/>
      <c r="I190" s="850"/>
      <c r="J190" s="858"/>
      <c r="K190" s="827"/>
      <c r="L190" s="858"/>
      <c r="M190" s="274" t="s">
        <v>283</v>
      </c>
      <c r="N190" s="611" t="s">
        <v>245</v>
      </c>
      <c r="O190" s="275">
        <v>1</v>
      </c>
      <c r="P190" s="276">
        <v>175000</v>
      </c>
      <c r="Q190" s="276">
        <f>P190*O190</f>
        <v>175000</v>
      </c>
      <c r="R190" s="277">
        <f>Q190</f>
        <v>175000</v>
      </c>
      <c r="S190" s="280"/>
      <c r="T190" s="280"/>
      <c r="U190" s="105">
        <v>625000</v>
      </c>
      <c r="V190" s="105">
        <f>U190</f>
        <v>625000</v>
      </c>
      <c r="W190" s="88"/>
      <c r="X190" s="88"/>
      <c r="Y190" s="88"/>
      <c r="Z190" s="88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</row>
    <row r="191" spans="1:87" s="3" customFormat="1" ht="121.5">
      <c r="A191" s="847"/>
      <c r="B191" s="858"/>
      <c r="C191" s="858"/>
      <c r="D191" s="858"/>
      <c r="E191" s="858"/>
      <c r="F191" s="858"/>
      <c r="G191" s="858"/>
      <c r="H191" s="858"/>
      <c r="I191" s="850"/>
      <c r="J191" s="858"/>
      <c r="K191" s="827"/>
      <c r="L191" s="858"/>
      <c r="M191" s="274" t="s">
        <v>609</v>
      </c>
      <c r="N191" s="611" t="s">
        <v>245</v>
      </c>
      <c r="O191" s="275">
        <v>2</v>
      </c>
      <c r="P191" s="276">
        <v>300000</v>
      </c>
      <c r="Q191" s="276">
        <f>P191*O191</f>
        <v>600000</v>
      </c>
      <c r="R191" s="277">
        <f>Q191</f>
        <v>600000</v>
      </c>
      <c r="S191" s="280"/>
      <c r="T191" s="280"/>
      <c r="U191" s="105">
        <v>600000</v>
      </c>
      <c r="V191" s="105">
        <f>U191</f>
        <v>600000</v>
      </c>
      <c r="W191" s="88"/>
      <c r="X191" s="88"/>
      <c r="Y191" s="88"/>
      <c r="Z191" s="88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</row>
    <row r="192" spans="1:87" s="3" customFormat="1" ht="40.5">
      <c r="A192" s="847"/>
      <c r="B192" s="858"/>
      <c r="C192" s="858"/>
      <c r="D192" s="858"/>
      <c r="E192" s="858"/>
      <c r="F192" s="858"/>
      <c r="G192" s="858"/>
      <c r="H192" s="858"/>
      <c r="I192" s="850"/>
      <c r="J192" s="858"/>
      <c r="K192" s="827"/>
      <c r="L192" s="858"/>
      <c r="M192" s="249" t="s">
        <v>328</v>
      </c>
      <c r="N192" s="611"/>
      <c r="O192" s="275"/>
      <c r="P192" s="276"/>
      <c r="Q192" s="276"/>
      <c r="R192" s="277"/>
      <c r="S192" s="280"/>
      <c r="T192" s="280"/>
      <c r="U192" s="88"/>
      <c r="V192" s="88"/>
      <c r="W192" s="106">
        <f>W193+W197+W202+W208</f>
        <v>4962675</v>
      </c>
      <c r="X192" s="106">
        <f>X193+X197+X202+X208</f>
        <v>4962675</v>
      </c>
      <c r="Y192" s="88"/>
      <c r="Z192" s="88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</row>
    <row r="193" spans="1:87" s="3" customFormat="1" ht="45" customHeight="1">
      <c r="A193" s="847"/>
      <c r="B193" s="858"/>
      <c r="C193" s="858"/>
      <c r="D193" s="858"/>
      <c r="E193" s="858"/>
      <c r="F193" s="858"/>
      <c r="G193" s="858"/>
      <c r="H193" s="858"/>
      <c r="I193" s="850"/>
      <c r="J193" s="858"/>
      <c r="K193" s="827"/>
      <c r="L193" s="858"/>
      <c r="M193" s="282" t="s">
        <v>264</v>
      </c>
      <c r="N193" s="611"/>
      <c r="O193" s="283">
        <f>SUM(O194:O196)</f>
        <v>12</v>
      </c>
      <c r="P193" s="283"/>
      <c r="Q193" s="283"/>
      <c r="R193" s="277"/>
      <c r="S193" s="280">
        <v>1290000</v>
      </c>
      <c r="T193" s="280"/>
      <c r="U193" s="88"/>
      <c r="V193" s="88"/>
      <c r="W193" s="106">
        <f>W194+W195+W196</f>
        <v>1290000</v>
      </c>
      <c r="X193" s="106">
        <f>X194+X195+X196</f>
        <v>1290000</v>
      </c>
      <c r="Y193" s="106">
        <f>Y194+Y195+Y196</f>
        <v>0</v>
      </c>
      <c r="Z193" s="88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</row>
    <row r="194" spans="1:87" s="3" customFormat="1" ht="47.25" customHeight="1">
      <c r="A194" s="847"/>
      <c r="B194" s="858"/>
      <c r="C194" s="858"/>
      <c r="D194" s="858"/>
      <c r="E194" s="858"/>
      <c r="F194" s="858"/>
      <c r="G194" s="858"/>
      <c r="H194" s="858"/>
      <c r="I194" s="850"/>
      <c r="J194" s="858"/>
      <c r="K194" s="827"/>
      <c r="L194" s="858"/>
      <c r="M194" s="274" t="s">
        <v>265</v>
      </c>
      <c r="N194" s="611" t="s">
        <v>245</v>
      </c>
      <c r="O194" s="284">
        <v>1</v>
      </c>
      <c r="P194" s="275">
        <v>30000</v>
      </c>
      <c r="Q194" s="275"/>
      <c r="R194" s="277"/>
      <c r="S194" s="280">
        <v>30000</v>
      </c>
      <c r="T194" s="280"/>
      <c r="U194" s="88"/>
      <c r="V194" s="88"/>
      <c r="W194" s="105">
        <v>30000</v>
      </c>
      <c r="X194" s="105">
        <f>W194</f>
        <v>30000</v>
      </c>
      <c r="Y194" s="88"/>
      <c r="Z194" s="88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</row>
    <row r="195" spans="1:87" s="3" customFormat="1" ht="68.25" customHeight="1">
      <c r="A195" s="847"/>
      <c r="B195" s="858"/>
      <c r="C195" s="858"/>
      <c r="D195" s="858"/>
      <c r="E195" s="858"/>
      <c r="F195" s="858"/>
      <c r="G195" s="858"/>
      <c r="H195" s="858"/>
      <c r="I195" s="850"/>
      <c r="J195" s="858"/>
      <c r="K195" s="827"/>
      <c r="L195" s="858"/>
      <c r="M195" s="274" t="s">
        <v>266</v>
      </c>
      <c r="N195" s="611" t="s">
        <v>245</v>
      </c>
      <c r="O195" s="285">
        <v>1</v>
      </c>
      <c r="P195" s="275">
        <v>360000</v>
      </c>
      <c r="Q195" s="275"/>
      <c r="R195" s="277"/>
      <c r="S195" s="280">
        <v>360000</v>
      </c>
      <c r="T195" s="280"/>
      <c r="U195" s="88"/>
      <c r="V195" s="88"/>
      <c r="W195" s="105">
        <v>360000</v>
      </c>
      <c r="X195" s="105">
        <f>W195</f>
        <v>360000</v>
      </c>
      <c r="Y195" s="88"/>
      <c r="Z195" s="88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</row>
    <row r="196" spans="1:87" s="3" customFormat="1" ht="164.25" customHeight="1">
      <c r="A196" s="847"/>
      <c r="B196" s="858"/>
      <c r="C196" s="858"/>
      <c r="D196" s="858"/>
      <c r="E196" s="858"/>
      <c r="F196" s="858"/>
      <c r="G196" s="858"/>
      <c r="H196" s="858"/>
      <c r="I196" s="850"/>
      <c r="J196" s="858"/>
      <c r="K196" s="827"/>
      <c r="L196" s="858"/>
      <c r="M196" s="274" t="s">
        <v>267</v>
      </c>
      <c r="N196" s="611" t="s">
        <v>245</v>
      </c>
      <c r="O196" s="275">
        <v>10</v>
      </c>
      <c r="P196" s="275">
        <v>90000</v>
      </c>
      <c r="Q196" s="275"/>
      <c r="R196" s="277"/>
      <c r="S196" s="280">
        <v>900000</v>
      </c>
      <c r="T196" s="280"/>
      <c r="U196" s="88"/>
      <c r="V196" s="88"/>
      <c r="W196" s="105">
        <v>900000</v>
      </c>
      <c r="X196" s="105">
        <f>W196</f>
        <v>900000</v>
      </c>
      <c r="Y196" s="88"/>
      <c r="Z196" s="88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</row>
    <row r="197" spans="1:87" s="3" customFormat="1" ht="81">
      <c r="A197" s="847"/>
      <c r="B197" s="858"/>
      <c r="C197" s="858"/>
      <c r="D197" s="858"/>
      <c r="E197" s="858"/>
      <c r="F197" s="858"/>
      <c r="G197" s="858"/>
      <c r="H197" s="858"/>
      <c r="I197" s="850"/>
      <c r="J197" s="858"/>
      <c r="K197" s="827"/>
      <c r="L197" s="858"/>
      <c r="M197" s="282" t="s">
        <v>268</v>
      </c>
      <c r="N197" s="611"/>
      <c r="O197" s="283">
        <f>SUM(O198:O201)</f>
        <v>8</v>
      </c>
      <c r="P197" s="283"/>
      <c r="Q197" s="283"/>
      <c r="R197" s="277"/>
      <c r="S197" s="280">
        <v>1072000</v>
      </c>
      <c r="T197" s="280"/>
      <c r="U197" s="106"/>
      <c r="V197" s="106"/>
      <c r="W197" s="106">
        <f>W198+W199+W200+W201</f>
        <v>1072000</v>
      </c>
      <c r="X197" s="106">
        <f>X198+X199+X200+X201</f>
        <v>1072000</v>
      </c>
      <c r="Y197" s="106">
        <f>Y198+Y199+Y200+Y201</f>
        <v>0</v>
      </c>
      <c r="Z197" s="88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</row>
    <row r="198" spans="1:87" s="3" customFormat="1" ht="43.5" customHeight="1">
      <c r="A198" s="847"/>
      <c r="B198" s="858"/>
      <c r="C198" s="858"/>
      <c r="D198" s="858"/>
      <c r="E198" s="858"/>
      <c r="F198" s="858"/>
      <c r="G198" s="858"/>
      <c r="H198" s="858"/>
      <c r="I198" s="850"/>
      <c r="J198" s="858"/>
      <c r="K198" s="827"/>
      <c r="L198" s="858"/>
      <c r="M198" s="274" t="s">
        <v>272</v>
      </c>
      <c r="N198" s="611" t="s">
        <v>245</v>
      </c>
      <c r="O198" s="275">
        <v>1</v>
      </c>
      <c r="P198" s="275">
        <v>250000</v>
      </c>
      <c r="Q198" s="275"/>
      <c r="R198" s="277"/>
      <c r="S198" s="280">
        <v>250000</v>
      </c>
      <c r="T198" s="280"/>
      <c r="U198" s="88"/>
      <c r="V198" s="88"/>
      <c r="W198" s="105">
        <v>250000</v>
      </c>
      <c r="X198" s="105">
        <f>W198</f>
        <v>250000</v>
      </c>
      <c r="Y198" s="88"/>
      <c r="Z198" s="88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</row>
    <row r="199" spans="1:87" s="3" customFormat="1" ht="66" customHeight="1">
      <c r="A199" s="847"/>
      <c r="B199" s="858"/>
      <c r="C199" s="858"/>
      <c r="D199" s="858"/>
      <c r="E199" s="858"/>
      <c r="F199" s="858"/>
      <c r="G199" s="858"/>
      <c r="H199" s="858"/>
      <c r="I199" s="850"/>
      <c r="J199" s="858"/>
      <c r="K199" s="827"/>
      <c r="L199" s="858"/>
      <c r="M199" s="274" t="s">
        <v>273</v>
      </c>
      <c r="N199" s="611" t="s">
        <v>245</v>
      </c>
      <c r="O199" s="275">
        <v>1</v>
      </c>
      <c r="P199" s="275">
        <v>800000</v>
      </c>
      <c r="Q199" s="275"/>
      <c r="R199" s="277"/>
      <c r="S199" s="280">
        <v>800000</v>
      </c>
      <c r="T199" s="280"/>
      <c r="U199" s="88"/>
      <c r="V199" s="88"/>
      <c r="W199" s="105">
        <v>800000</v>
      </c>
      <c r="X199" s="105">
        <f>W199</f>
        <v>800000</v>
      </c>
      <c r="Y199" s="88"/>
      <c r="Z199" s="88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</row>
    <row r="200" spans="1:87" s="3" customFormat="1" ht="60.75">
      <c r="A200" s="847"/>
      <c r="B200" s="858"/>
      <c r="C200" s="858"/>
      <c r="D200" s="858"/>
      <c r="E200" s="858"/>
      <c r="F200" s="858"/>
      <c r="G200" s="858"/>
      <c r="H200" s="858"/>
      <c r="I200" s="850"/>
      <c r="J200" s="858"/>
      <c r="K200" s="827"/>
      <c r="L200" s="858"/>
      <c r="M200" s="286" t="s">
        <v>663</v>
      </c>
      <c r="N200" s="611" t="s">
        <v>245</v>
      </c>
      <c r="O200" s="275">
        <v>2</v>
      </c>
      <c r="P200" s="275">
        <v>5000</v>
      </c>
      <c r="Q200" s="275"/>
      <c r="R200" s="277"/>
      <c r="S200" s="280">
        <v>10000</v>
      </c>
      <c r="T200" s="280"/>
      <c r="U200" s="88"/>
      <c r="V200" s="88"/>
      <c r="W200" s="105">
        <v>10000</v>
      </c>
      <c r="X200" s="105">
        <f>W200</f>
        <v>10000</v>
      </c>
      <c r="Y200" s="88"/>
      <c r="Z200" s="88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</row>
    <row r="201" spans="1:87" s="3" customFormat="1" ht="40.5">
      <c r="A201" s="847"/>
      <c r="B201" s="858"/>
      <c r="C201" s="858"/>
      <c r="D201" s="858"/>
      <c r="E201" s="858"/>
      <c r="F201" s="858"/>
      <c r="G201" s="858"/>
      <c r="H201" s="858"/>
      <c r="I201" s="850"/>
      <c r="J201" s="858"/>
      <c r="K201" s="827"/>
      <c r="L201" s="858"/>
      <c r="M201" s="286" t="s">
        <v>274</v>
      </c>
      <c r="N201" s="611" t="s">
        <v>245</v>
      </c>
      <c r="O201" s="275">
        <v>4</v>
      </c>
      <c r="P201" s="275">
        <v>3000</v>
      </c>
      <c r="Q201" s="275"/>
      <c r="R201" s="277"/>
      <c r="S201" s="280">
        <v>12000</v>
      </c>
      <c r="T201" s="280"/>
      <c r="U201" s="88"/>
      <c r="V201" s="88"/>
      <c r="W201" s="105">
        <v>12000</v>
      </c>
      <c r="X201" s="105">
        <f>W201</f>
        <v>12000</v>
      </c>
      <c r="Y201" s="88"/>
      <c r="Z201" s="88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</row>
    <row r="202" spans="1:87" s="3" customFormat="1" ht="81">
      <c r="A202" s="847"/>
      <c r="B202" s="858"/>
      <c r="C202" s="858"/>
      <c r="D202" s="858"/>
      <c r="E202" s="858"/>
      <c r="F202" s="858"/>
      <c r="G202" s="858"/>
      <c r="H202" s="858"/>
      <c r="I202" s="850"/>
      <c r="J202" s="858"/>
      <c r="K202" s="827"/>
      <c r="L202" s="858"/>
      <c r="M202" s="282" t="s">
        <v>275</v>
      </c>
      <c r="N202" s="611"/>
      <c r="O202" s="283">
        <f>SUM(O203:O207)</f>
        <v>16</v>
      </c>
      <c r="P202" s="283"/>
      <c r="Q202" s="283"/>
      <c r="R202" s="277"/>
      <c r="S202" s="280">
        <v>1960500</v>
      </c>
      <c r="T202" s="280"/>
      <c r="U202" s="88"/>
      <c r="V202" s="88"/>
      <c r="W202" s="106">
        <f>W203+W204+W205+W206+W207</f>
        <v>1960500</v>
      </c>
      <c r="X202" s="106">
        <f>X203+X204+X205+X206+X207</f>
        <v>1960500</v>
      </c>
      <c r="Y202" s="88"/>
      <c r="Z202" s="88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</row>
    <row r="203" spans="1:87" s="3" customFormat="1" ht="40.5">
      <c r="A203" s="847"/>
      <c r="B203" s="858"/>
      <c r="C203" s="858"/>
      <c r="D203" s="858"/>
      <c r="E203" s="858"/>
      <c r="F203" s="858"/>
      <c r="G203" s="858"/>
      <c r="H203" s="858"/>
      <c r="I203" s="850"/>
      <c r="J203" s="858"/>
      <c r="K203" s="827"/>
      <c r="L203" s="858"/>
      <c r="M203" s="286" t="s">
        <v>271</v>
      </c>
      <c r="N203" s="611" t="s">
        <v>245</v>
      </c>
      <c r="O203" s="275">
        <v>10</v>
      </c>
      <c r="P203" s="275">
        <v>10000</v>
      </c>
      <c r="Q203" s="275"/>
      <c r="R203" s="277"/>
      <c r="S203" s="280">
        <v>100000</v>
      </c>
      <c r="T203" s="280"/>
      <c r="U203" s="88"/>
      <c r="V203" s="88"/>
      <c r="W203" s="88">
        <v>100000</v>
      </c>
      <c r="X203" s="88">
        <f>W203</f>
        <v>100000</v>
      </c>
      <c r="Y203" s="88"/>
      <c r="Z203" s="88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</row>
    <row r="204" spans="1:87" s="3" customFormat="1" ht="39.75">
      <c r="A204" s="847"/>
      <c r="B204" s="858"/>
      <c r="C204" s="858"/>
      <c r="D204" s="858"/>
      <c r="E204" s="858"/>
      <c r="F204" s="858"/>
      <c r="G204" s="858"/>
      <c r="H204" s="858"/>
      <c r="I204" s="850"/>
      <c r="J204" s="858"/>
      <c r="K204" s="827"/>
      <c r="L204" s="858"/>
      <c r="M204" s="286" t="s">
        <v>276</v>
      </c>
      <c r="N204" s="611" t="s">
        <v>245</v>
      </c>
      <c r="O204" s="275">
        <v>3</v>
      </c>
      <c r="P204" s="275">
        <v>3500</v>
      </c>
      <c r="Q204" s="275"/>
      <c r="R204" s="277"/>
      <c r="S204" s="280">
        <v>10500</v>
      </c>
      <c r="T204" s="280"/>
      <c r="U204" s="88"/>
      <c r="V204" s="88"/>
      <c r="W204" s="88">
        <v>10500</v>
      </c>
      <c r="X204" s="88">
        <f>W204</f>
        <v>10500</v>
      </c>
      <c r="Y204" s="88"/>
      <c r="Z204" s="88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</row>
    <row r="205" spans="1:87" s="3" customFormat="1" ht="126" customHeight="1">
      <c r="A205" s="847"/>
      <c r="B205" s="858"/>
      <c r="C205" s="858"/>
      <c r="D205" s="858"/>
      <c r="E205" s="858"/>
      <c r="F205" s="858"/>
      <c r="G205" s="858"/>
      <c r="H205" s="858"/>
      <c r="I205" s="850"/>
      <c r="J205" s="858"/>
      <c r="K205" s="827"/>
      <c r="L205" s="858"/>
      <c r="M205" s="286" t="s">
        <v>277</v>
      </c>
      <c r="N205" s="611" t="s">
        <v>245</v>
      </c>
      <c r="O205" s="275">
        <v>1</v>
      </c>
      <c r="P205" s="275">
        <v>750000</v>
      </c>
      <c r="Q205" s="275"/>
      <c r="R205" s="277"/>
      <c r="S205" s="280">
        <v>750000</v>
      </c>
      <c r="T205" s="280"/>
      <c r="U205" s="88"/>
      <c r="V205" s="88"/>
      <c r="W205" s="88">
        <v>750000</v>
      </c>
      <c r="X205" s="88">
        <f>W205</f>
        <v>750000</v>
      </c>
      <c r="Y205" s="88"/>
      <c r="Z205" s="88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</row>
    <row r="206" spans="1:87" s="3" customFormat="1" ht="91.5" customHeight="1">
      <c r="A206" s="847"/>
      <c r="B206" s="858"/>
      <c r="C206" s="858"/>
      <c r="D206" s="858"/>
      <c r="E206" s="858"/>
      <c r="F206" s="858"/>
      <c r="G206" s="858"/>
      <c r="H206" s="858"/>
      <c r="I206" s="850"/>
      <c r="J206" s="858"/>
      <c r="K206" s="827"/>
      <c r="L206" s="858"/>
      <c r="M206" s="286" t="s">
        <v>278</v>
      </c>
      <c r="N206" s="611" t="s">
        <v>245</v>
      </c>
      <c r="O206" s="275">
        <v>1</v>
      </c>
      <c r="P206" s="275">
        <v>400000</v>
      </c>
      <c r="Q206" s="275"/>
      <c r="R206" s="277"/>
      <c r="S206" s="280">
        <v>400000</v>
      </c>
      <c r="T206" s="280"/>
      <c r="U206" s="88"/>
      <c r="V206" s="88"/>
      <c r="W206" s="88">
        <v>400000</v>
      </c>
      <c r="X206" s="88">
        <f>W206</f>
        <v>400000</v>
      </c>
      <c r="Y206" s="88"/>
      <c r="Z206" s="88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</row>
    <row r="207" spans="1:87" s="3" customFormat="1" ht="68.25" customHeight="1">
      <c r="A207" s="847"/>
      <c r="B207" s="858"/>
      <c r="C207" s="858"/>
      <c r="D207" s="858"/>
      <c r="E207" s="858"/>
      <c r="F207" s="858"/>
      <c r="G207" s="858"/>
      <c r="H207" s="858"/>
      <c r="I207" s="850"/>
      <c r="J207" s="858"/>
      <c r="K207" s="827"/>
      <c r="L207" s="858"/>
      <c r="M207" s="286" t="s">
        <v>279</v>
      </c>
      <c r="N207" s="611" t="s">
        <v>245</v>
      </c>
      <c r="O207" s="275">
        <v>1</v>
      </c>
      <c r="P207" s="275">
        <v>700000</v>
      </c>
      <c r="Q207" s="275"/>
      <c r="R207" s="277"/>
      <c r="S207" s="280">
        <v>700000</v>
      </c>
      <c r="T207" s="280"/>
      <c r="U207" s="88"/>
      <c r="V207" s="88"/>
      <c r="W207" s="88">
        <v>700000</v>
      </c>
      <c r="X207" s="88">
        <f>W207</f>
        <v>700000</v>
      </c>
      <c r="Y207" s="88"/>
      <c r="Z207" s="88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</row>
    <row r="208" spans="1:87" s="3" customFormat="1" ht="70.5" customHeight="1">
      <c r="A208" s="847"/>
      <c r="B208" s="858"/>
      <c r="C208" s="858"/>
      <c r="D208" s="858"/>
      <c r="E208" s="858"/>
      <c r="F208" s="858"/>
      <c r="G208" s="858"/>
      <c r="H208" s="858"/>
      <c r="I208" s="850"/>
      <c r="J208" s="858"/>
      <c r="K208" s="827"/>
      <c r="L208" s="858"/>
      <c r="M208" s="282" t="s">
        <v>282</v>
      </c>
      <c r="N208" s="611"/>
      <c r="O208" s="283">
        <f>SUM(O209:O209)</f>
        <v>2</v>
      </c>
      <c r="P208" s="283"/>
      <c r="Q208" s="283"/>
      <c r="R208" s="277"/>
      <c r="S208" s="280">
        <v>1900000</v>
      </c>
      <c r="T208" s="280"/>
      <c r="U208" s="88"/>
      <c r="V208" s="88"/>
      <c r="W208" s="106">
        <f>W209</f>
        <v>640175</v>
      </c>
      <c r="X208" s="106">
        <f>X209</f>
        <v>640175</v>
      </c>
      <c r="Y208" s="88"/>
      <c r="Z208" s="88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</row>
    <row r="209" spans="1:87" s="3" customFormat="1" ht="66" customHeight="1">
      <c r="A209" s="847"/>
      <c r="B209" s="858"/>
      <c r="C209" s="858"/>
      <c r="D209" s="858"/>
      <c r="E209" s="858"/>
      <c r="F209" s="858"/>
      <c r="G209" s="858"/>
      <c r="H209" s="858"/>
      <c r="I209" s="850"/>
      <c r="J209" s="858"/>
      <c r="K209" s="827"/>
      <c r="L209" s="858"/>
      <c r="M209" s="274" t="s">
        <v>284</v>
      </c>
      <c r="N209" s="611" t="s">
        <v>245</v>
      </c>
      <c r="O209" s="275">
        <v>2</v>
      </c>
      <c r="P209" s="275">
        <v>250000</v>
      </c>
      <c r="Q209" s="275"/>
      <c r="R209" s="277"/>
      <c r="S209" s="280">
        <v>500000</v>
      </c>
      <c r="T209" s="280"/>
      <c r="U209" s="88"/>
      <c r="V209" s="88"/>
      <c r="W209" s="88">
        <v>640175</v>
      </c>
      <c r="X209" s="88">
        <f>W209</f>
        <v>640175</v>
      </c>
      <c r="Y209" s="88"/>
      <c r="Z209" s="88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</row>
    <row r="210" spans="1:87" s="3" customFormat="1" ht="40.5">
      <c r="A210" s="847"/>
      <c r="B210" s="858"/>
      <c r="C210" s="858"/>
      <c r="D210" s="858"/>
      <c r="E210" s="858"/>
      <c r="F210" s="858"/>
      <c r="G210" s="858"/>
      <c r="H210" s="858"/>
      <c r="I210" s="850"/>
      <c r="J210" s="858"/>
      <c r="K210" s="827"/>
      <c r="L210" s="858"/>
      <c r="M210" s="249" t="s">
        <v>329</v>
      </c>
      <c r="N210" s="611"/>
      <c r="O210" s="275"/>
      <c r="P210" s="275"/>
      <c r="Q210" s="275"/>
      <c r="R210" s="277"/>
      <c r="S210" s="280"/>
      <c r="T210" s="280"/>
      <c r="U210" s="88"/>
      <c r="V210" s="88"/>
      <c r="W210" s="88"/>
      <c r="X210" s="88"/>
      <c r="Y210" s="106">
        <f>Y211+Y212</f>
        <v>4962675</v>
      </c>
      <c r="Z210" s="106">
        <f>Z211+Z212</f>
        <v>4962675</v>
      </c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</row>
    <row r="211" spans="1:87" s="3" customFormat="1" ht="121.5">
      <c r="A211" s="847"/>
      <c r="B211" s="858"/>
      <c r="C211" s="858"/>
      <c r="D211" s="858"/>
      <c r="E211" s="858"/>
      <c r="F211" s="858"/>
      <c r="G211" s="858"/>
      <c r="H211" s="858"/>
      <c r="I211" s="850"/>
      <c r="J211" s="858"/>
      <c r="K211" s="827"/>
      <c r="L211" s="858"/>
      <c r="M211" s="274" t="s">
        <v>269</v>
      </c>
      <c r="N211" s="611" t="s">
        <v>245</v>
      </c>
      <c r="O211" s="275">
        <v>25</v>
      </c>
      <c r="P211" s="275">
        <v>25000</v>
      </c>
      <c r="Q211" s="276"/>
      <c r="R211" s="277"/>
      <c r="S211" s="280"/>
      <c r="T211" s="280">
        <v>625000</v>
      </c>
      <c r="U211" s="88"/>
      <c r="V211" s="88"/>
      <c r="W211" s="88"/>
      <c r="X211" s="88"/>
      <c r="Y211" s="88">
        <v>562675</v>
      </c>
      <c r="Z211" s="88">
        <f>Y211</f>
        <v>562675</v>
      </c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</row>
    <row r="212" spans="1:87" s="3" customFormat="1" ht="39.75">
      <c r="A212" s="847"/>
      <c r="B212" s="858"/>
      <c r="C212" s="858"/>
      <c r="D212" s="858"/>
      <c r="E212" s="858"/>
      <c r="F212" s="858"/>
      <c r="G212" s="858"/>
      <c r="H212" s="858"/>
      <c r="I212" s="850"/>
      <c r="J212" s="858"/>
      <c r="K212" s="827"/>
      <c r="L212" s="858"/>
      <c r="M212" s="274" t="s">
        <v>270</v>
      </c>
      <c r="N212" s="611" t="s">
        <v>245</v>
      </c>
      <c r="O212" s="275">
        <v>2</v>
      </c>
      <c r="P212" s="275">
        <v>2200000</v>
      </c>
      <c r="Q212" s="276"/>
      <c r="R212" s="277"/>
      <c r="S212" s="280"/>
      <c r="T212" s="280">
        <v>4400000</v>
      </c>
      <c r="U212" s="88"/>
      <c r="V212" s="88"/>
      <c r="W212" s="88"/>
      <c r="X212" s="88"/>
      <c r="Y212" s="88">
        <v>4400000</v>
      </c>
      <c r="Z212" s="88">
        <f>Y212</f>
        <v>4400000</v>
      </c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</row>
    <row r="213" spans="1:87" s="3" customFormat="1" ht="23.25">
      <c r="A213" s="940" t="s">
        <v>75</v>
      </c>
      <c r="B213" s="953"/>
      <c r="C213" s="827"/>
      <c r="D213" s="827"/>
      <c r="E213" s="827"/>
      <c r="F213" s="827"/>
      <c r="G213" s="827"/>
      <c r="H213" s="827"/>
      <c r="I213" s="949" t="s">
        <v>635</v>
      </c>
      <c r="J213" s="947">
        <v>1305440</v>
      </c>
      <c r="K213" s="951">
        <v>865428</v>
      </c>
      <c r="L213" s="952" t="s">
        <v>17</v>
      </c>
      <c r="M213" s="287"/>
      <c r="N213" s="612"/>
      <c r="O213" s="288"/>
      <c r="P213" s="288"/>
      <c r="Q213" s="288">
        <f>SUM(Q214:Q215,0)</f>
        <v>863000</v>
      </c>
      <c r="R213" s="289">
        <f>SUM(R214:R215,0)</f>
        <v>863000</v>
      </c>
      <c r="S213" s="289" t="e">
        <f>#REF!+S216+#REF!+#REF!+S217+S218+S219</f>
        <v>#REF!</v>
      </c>
      <c r="T213" s="289">
        <f>T220</f>
        <v>120000</v>
      </c>
      <c r="U213" s="106">
        <f aca="true" t="shared" si="68" ref="U213:Z213">U214+U215+U216+U217+U218+U219+U220</f>
        <v>865428</v>
      </c>
      <c r="V213" s="106">
        <f t="shared" si="68"/>
        <v>865428</v>
      </c>
      <c r="W213" s="106">
        <f t="shared" si="68"/>
        <v>432714</v>
      </c>
      <c r="X213" s="106">
        <f t="shared" si="68"/>
        <v>432714</v>
      </c>
      <c r="Y213" s="106">
        <f t="shared" si="68"/>
        <v>432714</v>
      </c>
      <c r="Z213" s="106">
        <f t="shared" si="68"/>
        <v>432714</v>
      </c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</row>
    <row r="214" spans="1:87" s="3" customFormat="1" ht="60.75">
      <c r="A214" s="850"/>
      <c r="B214" s="827"/>
      <c r="C214" s="827"/>
      <c r="D214" s="827"/>
      <c r="E214" s="827"/>
      <c r="F214" s="827"/>
      <c r="G214" s="827"/>
      <c r="H214" s="827"/>
      <c r="I214" s="850"/>
      <c r="J214" s="858"/>
      <c r="K214" s="827"/>
      <c r="L214" s="827"/>
      <c r="M214" s="186" t="s">
        <v>664</v>
      </c>
      <c r="N214" s="613" t="s">
        <v>245</v>
      </c>
      <c r="O214" s="290">
        <v>2</v>
      </c>
      <c r="P214" s="291">
        <v>102000</v>
      </c>
      <c r="Q214" s="291">
        <f>ROUND(O214*P214,0)</f>
        <v>204000</v>
      </c>
      <c r="R214" s="292">
        <v>204000</v>
      </c>
      <c r="S214" s="293"/>
      <c r="T214" s="294"/>
      <c r="U214" s="88">
        <v>206428</v>
      </c>
      <c r="V214" s="88">
        <f>U214</f>
        <v>206428</v>
      </c>
      <c r="W214" s="88">
        <v>0</v>
      </c>
      <c r="X214" s="88">
        <f>W214</f>
        <v>0</v>
      </c>
      <c r="Y214" s="88">
        <v>0</v>
      </c>
      <c r="Z214" s="88">
        <f>Y214</f>
        <v>0</v>
      </c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</row>
    <row r="215" spans="1:87" s="3" customFormat="1" ht="40.5">
      <c r="A215" s="850"/>
      <c r="B215" s="827"/>
      <c r="C215" s="827"/>
      <c r="D215" s="827"/>
      <c r="E215" s="827"/>
      <c r="F215" s="827"/>
      <c r="G215" s="827"/>
      <c r="H215" s="827"/>
      <c r="I215" s="850"/>
      <c r="J215" s="858"/>
      <c r="K215" s="827"/>
      <c r="L215" s="827"/>
      <c r="M215" s="186" t="s">
        <v>665</v>
      </c>
      <c r="N215" s="613" t="s">
        <v>245</v>
      </c>
      <c r="O215" s="290">
        <v>1</v>
      </c>
      <c r="P215" s="291">
        <v>659000</v>
      </c>
      <c r="Q215" s="291">
        <f>ROUND(O215*P215,0)</f>
        <v>659000</v>
      </c>
      <c r="R215" s="292">
        <v>659000</v>
      </c>
      <c r="S215" s="293"/>
      <c r="T215" s="294"/>
      <c r="U215" s="88">
        <v>659000</v>
      </c>
      <c r="V215" s="88">
        <f aca="true" t="shared" si="69" ref="V215:V220">U215</f>
        <v>659000</v>
      </c>
      <c r="W215" s="88">
        <v>0</v>
      </c>
      <c r="X215" s="88">
        <f aca="true" t="shared" si="70" ref="X215:X220">W215</f>
        <v>0</v>
      </c>
      <c r="Y215" s="88">
        <v>0</v>
      </c>
      <c r="Z215" s="88">
        <f aca="true" t="shared" si="71" ref="Z215:Z220">Y215</f>
        <v>0</v>
      </c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</row>
    <row r="216" spans="1:87" s="3" customFormat="1" ht="40.5">
      <c r="A216" s="850"/>
      <c r="B216" s="827"/>
      <c r="C216" s="827"/>
      <c r="D216" s="827"/>
      <c r="E216" s="827"/>
      <c r="F216" s="827"/>
      <c r="G216" s="827"/>
      <c r="H216" s="827"/>
      <c r="I216" s="850"/>
      <c r="J216" s="858"/>
      <c r="K216" s="827"/>
      <c r="L216" s="827"/>
      <c r="M216" s="186" t="s">
        <v>666</v>
      </c>
      <c r="N216" s="613" t="s">
        <v>245</v>
      </c>
      <c r="O216" s="290">
        <v>10</v>
      </c>
      <c r="P216" s="291">
        <v>4285</v>
      </c>
      <c r="Q216" s="291"/>
      <c r="R216" s="292"/>
      <c r="S216" s="293">
        <f>ROUND(P216*O216,0)</f>
        <v>42850</v>
      </c>
      <c r="T216" s="294"/>
      <c r="U216" s="88">
        <v>0</v>
      </c>
      <c r="V216" s="88">
        <f t="shared" si="69"/>
        <v>0</v>
      </c>
      <c r="W216" s="88">
        <v>0</v>
      </c>
      <c r="X216" s="88">
        <f t="shared" si="70"/>
        <v>0</v>
      </c>
      <c r="Y216" s="88">
        <v>32814</v>
      </c>
      <c r="Z216" s="88">
        <f t="shared" si="71"/>
        <v>32814</v>
      </c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</row>
    <row r="217" spans="1:87" s="3" customFormat="1" ht="40.5">
      <c r="A217" s="850"/>
      <c r="B217" s="827"/>
      <c r="C217" s="827"/>
      <c r="D217" s="827"/>
      <c r="E217" s="827"/>
      <c r="F217" s="827"/>
      <c r="G217" s="827"/>
      <c r="H217" s="827"/>
      <c r="I217" s="850"/>
      <c r="J217" s="858"/>
      <c r="K217" s="827"/>
      <c r="L217" s="827"/>
      <c r="M217" s="186" t="s">
        <v>701</v>
      </c>
      <c r="N217" s="613" t="s">
        <v>245</v>
      </c>
      <c r="O217" s="290">
        <v>1</v>
      </c>
      <c r="P217" s="291">
        <v>84900</v>
      </c>
      <c r="Q217" s="291"/>
      <c r="R217" s="292"/>
      <c r="S217" s="293">
        <f>ROUND(P217*O217,0)</f>
        <v>84900</v>
      </c>
      <c r="T217" s="294"/>
      <c r="U217" s="88">
        <v>0</v>
      </c>
      <c r="V217" s="88">
        <f t="shared" si="69"/>
        <v>0</v>
      </c>
      <c r="W217" s="88">
        <v>0</v>
      </c>
      <c r="X217" s="88">
        <f t="shared" si="70"/>
        <v>0</v>
      </c>
      <c r="Y217" s="88">
        <v>84900</v>
      </c>
      <c r="Z217" s="88">
        <f t="shared" si="71"/>
        <v>84900</v>
      </c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</row>
    <row r="218" spans="1:87" s="3" customFormat="1" ht="40.5">
      <c r="A218" s="850"/>
      <c r="B218" s="827"/>
      <c r="C218" s="827"/>
      <c r="D218" s="827"/>
      <c r="E218" s="827"/>
      <c r="F218" s="827"/>
      <c r="G218" s="827"/>
      <c r="H218" s="827"/>
      <c r="I218" s="850"/>
      <c r="J218" s="858"/>
      <c r="K218" s="827"/>
      <c r="L218" s="827"/>
      <c r="M218" s="186" t="s">
        <v>667</v>
      </c>
      <c r="N218" s="613" t="s">
        <v>245</v>
      </c>
      <c r="O218" s="290">
        <v>10</v>
      </c>
      <c r="P218" s="291">
        <v>45000</v>
      </c>
      <c r="Q218" s="291"/>
      <c r="R218" s="292"/>
      <c r="S218" s="293">
        <f>ROUND(P218*O218,0)</f>
        <v>450000</v>
      </c>
      <c r="T218" s="294"/>
      <c r="U218" s="88">
        <v>0</v>
      </c>
      <c r="V218" s="88">
        <f t="shared" si="69"/>
        <v>0</v>
      </c>
      <c r="W218" s="88">
        <v>432714</v>
      </c>
      <c r="X218" s="88">
        <f t="shared" si="70"/>
        <v>432714</v>
      </c>
      <c r="Y218" s="88">
        <v>0</v>
      </c>
      <c r="Z218" s="88">
        <f t="shared" si="71"/>
        <v>0</v>
      </c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</row>
    <row r="219" spans="1:87" s="3" customFormat="1" ht="31.5" customHeight="1">
      <c r="A219" s="850"/>
      <c r="B219" s="827"/>
      <c r="C219" s="827"/>
      <c r="D219" s="827"/>
      <c r="E219" s="827"/>
      <c r="F219" s="827"/>
      <c r="G219" s="827"/>
      <c r="H219" s="827"/>
      <c r="I219" s="850"/>
      <c r="J219" s="858"/>
      <c r="K219" s="827"/>
      <c r="L219" s="827"/>
      <c r="M219" s="186" t="s">
        <v>668</v>
      </c>
      <c r="N219" s="613" t="s">
        <v>245</v>
      </c>
      <c r="O219" s="290">
        <v>13</v>
      </c>
      <c r="P219" s="291">
        <v>15000</v>
      </c>
      <c r="Q219" s="291"/>
      <c r="R219" s="292"/>
      <c r="S219" s="293">
        <f>ROUND(P219*O219,0)</f>
        <v>195000</v>
      </c>
      <c r="T219" s="294"/>
      <c r="U219" s="88">
        <v>0</v>
      </c>
      <c r="V219" s="88">
        <f t="shared" si="69"/>
        <v>0</v>
      </c>
      <c r="W219" s="88">
        <v>0</v>
      </c>
      <c r="X219" s="88">
        <f t="shared" si="70"/>
        <v>0</v>
      </c>
      <c r="Y219" s="88">
        <v>195000</v>
      </c>
      <c r="Z219" s="88">
        <f t="shared" si="71"/>
        <v>195000</v>
      </c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</row>
    <row r="220" spans="1:87" s="3" customFormat="1" ht="60.75">
      <c r="A220" s="850"/>
      <c r="B220" s="827"/>
      <c r="C220" s="827"/>
      <c r="D220" s="827"/>
      <c r="E220" s="827"/>
      <c r="F220" s="827"/>
      <c r="G220" s="827"/>
      <c r="H220" s="827"/>
      <c r="I220" s="850"/>
      <c r="J220" s="858"/>
      <c r="K220" s="827"/>
      <c r="L220" s="827"/>
      <c r="M220" s="186" t="s">
        <v>669</v>
      </c>
      <c r="N220" s="613" t="s">
        <v>245</v>
      </c>
      <c r="O220" s="290">
        <v>1</v>
      </c>
      <c r="P220" s="291">
        <v>120000</v>
      </c>
      <c r="Q220" s="291"/>
      <c r="R220" s="292"/>
      <c r="S220" s="293"/>
      <c r="T220" s="294">
        <f>ROUND(O220*P220,0)</f>
        <v>120000</v>
      </c>
      <c r="U220" s="88">
        <v>0</v>
      </c>
      <c r="V220" s="88">
        <f t="shared" si="69"/>
        <v>0</v>
      </c>
      <c r="W220" s="88">
        <v>0</v>
      </c>
      <c r="X220" s="88">
        <f t="shared" si="70"/>
        <v>0</v>
      </c>
      <c r="Y220" s="88">
        <v>120000</v>
      </c>
      <c r="Z220" s="88">
        <f t="shared" si="71"/>
        <v>120000</v>
      </c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</row>
    <row r="221" spans="1:87" s="3" customFormat="1" ht="45">
      <c r="A221" s="940" t="s">
        <v>76</v>
      </c>
      <c r="B221" s="953"/>
      <c r="C221" s="953"/>
      <c r="D221" s="953"/>
      <c r="E221" s="953"/>
      <c r="F221" s="953"/>
      <c r="G221" s="953"/>
      <c r="H221" s="953"/>
      <c r="I221" s="954" t="s">
        <v>636</v>
      </c>
      <c r="J221" s="955">
        <v>2491167.2</v>
      </c>
      <c r="K221" s="955">
        <v>4550502</v>
      </c>
      <c r="L221" s="952" t="s">
        <v>17</v>
      </c>
      <c r="M221" s="295"/>
      <c r="N221" s="612" t="s">
        <v>401</v>
      </c>
      <c r="O221" s="107">
        <f>SUM(O222:O262)</f>
        <v>112</v>
      </c>
      <c r="P221" s="296">
        <v>167175</v>
      </c>
      <c r="Q221" s="107">
        <f aca="true" t="shared" si="72" ref="Q221:Z221">SUM(Q222:Q262)</f>
        <v>19001750</v>
      </c>
      <c r="R221" s="297">
        <f t="shared" si="72"/>
        <v>17777850</v>
      </c>
      <c r="S221" s="297">
        <f t="shared" si="72"/>
        <v>1141500</v>
      </c>
      <c r="T221" s="297">
        <f t="shared" si="72"/>
        <v>0</v>
      </c>
      <c r="U221" s="107">
        <f t="shared" si="72"/>
        <v>4550502</v>
      </c>
      <c r="V221" s="107">
        <f t="shared" si="72"/>
        <v>4550502</v>
      </c>
      <c r="W221" s="107">
        <f t="shared" si="72"/>
        <v>2275251</v>
      </c>
      <c r="X221" s="107">
        <f t="shared" si="72"/>
        <v>2275251</v>
      </c>
      <c r="Y221" s="107">
        <f t="shared" si="72"/>
        <v>2275251</v>
      </c>
      <c r="Z221" s="107">
        <f t="shared" si="72"/>
        <v>2275251</v>
      </c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</row>
    <row r="222" spans="1:87" s="3" customFormat="1" ht="81.75" customHeight="1">
      <c r="A222" s="940"/>
      <c r="B222" s="953"/>
      <c r="C222" s="953"/>
      <c r="D222" s="953"/>
      <c r="E222" s="953"/>
      <c r="F222" s="953"/>
      <c r="G222" s="953"/>
      <c r="H222" s="953"/>
      <c r="I222" s="954"/>
      <c r="J222" s="955"/>
      <c r="K222" s="955"/>
      <c r="L222" s="952"/>
      <c r="M222" s="186" t="s">
        <v>574</v>
      </c>
      <c r="N222" s="614" t="s">
        <v>245</v>
      </c>
      <c r="O222" s="299">
        <v>1</v>
      </c>
      <c r="P222" s="299">
        <v>324750</v>
      </c>
      <c r="Q222" s="299">
        <v>324750</v>
      </c>
      <c r="R222" s="300">
        <f>ROUND(O222*P222,0)</f>
        <v>324750</v>
      </c>
      <c r="S222" s="297"/>
      <c r="T222" s="297"/>
      <c r="U222" s="107">
        <v>700000</v>
      </c>
      <c r="V222" s="107">
        <f>U222</f>
        <v>700000</v>
      </c>
      <c r="W222" s="88">
        <v>0</v>
      </c>
      <c r="X222" s="88">
        <f>W222</f>
        <v>0</v>
      </c>
      <c r="Y222" s="88">
        <v>0</v>
      </c>
      <c r="Z222" s="88">
        <f>Y222</f>
        <v>0</v>
      </c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</row>
    <row r="223" spans="1:87" s="3" customFormat="1" ht="47.25" customHeight="1">
      <c r="A223" s="940"/>
      <c r="B223" s="953"/>
      <c r="C223" s="953"/>
      <c r="D223" s="953"/>
      <c r="E223" s="953"/>
      <c r="F223" s="953"/>
      <c r="G223" s="953"/>
      <c r="H223" s="953"/>
      <c r="I223" s="954"/>
      <c r="J223" s="827"/>
      <c r="K223" s="827"/>
      <c r="L223" s="952"/>
      <c r="M223" s="186" t="s">
        <v>575</v>
      </c>
      <c r="N223" s="614" t="s">
        <v>245</v>
      </c>
      <c r="O223" s="299">
        <v>20</v>
      </c>
      <c r="P223" s="299">
        <v>17280</v>
      </c>
      <c r="Q223" s="299">
        <f>ROUND(O223*P223,0)</f>
        <v>345600</v>
      </c>
      <c r="R223" s="300">
        <v>259200</v>
      </c>
      <c r="S223" s="297"/>
      <c r="T223" s="297"/>
      <c r="U223" s="107">
        <v>80000</v>
      </c>
      <c r="V223" s="107">
        <f aca="true" t="shared" si="73" ref="V223:V262">U223</f>
        <v>80000</v>
      </c>
      <c r="W223" s="88">
        <v>0</v>
      </c>
      <c r="X223" s="88">
        <f aca="true" t="shared" si="74" ref="X223:X262">W223</f>
        <v>0</v>
      </c>
      <c r="Y223" s="88">
        <v>0</v>
      </c>
      <c r="Z223" s="88">
        <f aca="true" t="shared" si="75" ref="Z223:Z262">Y223</f>
        <v>0</v>
      </c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</row>
    <row r="224" spans="1:87" s="3" customFormat="1" ht="30" customHeight="1">
      <c r="A224" s="940"/>
      <c r="B224" s="953"/>
      <c r="C224" s="953"/>
      <c r="D224" s="953"/>
      <c r="E224" s="953"/>
      <c r="F224" s="953"/>
      <c r="G224" s="953"/>
      <c r="H224" s="953"/>
      <c r="I224" s="954"/>
      <c r="J224" s="827"/>
      <c r="K224" s="827"/>
      <c r="L224" s="952"/>
      <c r="M224" s="186" t="s">
        <v>576</v>
      </c>
      <c r="N224" s="615"/>
      <c r="O224" s="299">
        <v>7</v>
      </c>
      <c r="P224" s="299">
        <v>55000</v>
      </c>
      <c r="Q224" s="299">
        <f aca="true" t="shared" si="76" ref="Q224:Q245">ROUND(O224*P224,0)</f>
        <v>385000</v>
      </c>
      <c r="R224" s="300">
        <f aca="true" t="shared" si="77" ref="R224:R245">ROUND(O224*P224,0)</f>
        <v>385000</v>
      </c>
      <c r="S224" s="297"/>
      <c r="T224" s="297"/>
      <c r="U224" s="107">
        <v>32000</v>
      </c>
      <c r="V224" s="107">
        <f t="shared" si="73"/>
        <v>32000</v>
      </c>
      <c r="W224" s="88">
        <v>385000</v>
      </c>
      <c r="X224" s="88">
        <f t="shared" si="74"/>
        <v>385000</v>
      </c>
      <c r="Y224" s="88">
        <v>385000</v>
      </c>
      <c r="Z224" s="88">
        <f t="shared" si="75"/>
        <v>385000</v>
      </c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</row>
    <row r="225" spans="1:87" s="3" customFormat="1" ht="69" customHeight="1">
      <c r="A225" s="940"/>
      <c r="B225" s="953"/>
      <c r="C225" s="953"/>
      <c r="D225" s="953"/>
      <c r="E225" s="953"/>
      <c r="F225" s="953"/>
      <c r="G225" s="953"/>
      <c r="H225" s="953"/>
      <c r="I225" s="954"/>
      <c r="J225" s="827"/>
      <c r="K225" s="827"/>
      <c r="L225" s="952"/>
      <c r="M225" s="186" t="s">
        <v>577</v>
      </c>
      <c r="N225" s="615"/>
      <c r="O225" s="299">
        <v>1</v>
      </c>
      <c r="P225" s="299">
        <v>59000</v>
      </c>
      <c r="Q225" s="299">
        <f t="shared" si="76"/>
        <v>59000</v>
      </c>
      <c r="R225" s="300">
        <f t="shared" si="77"/>
        <v>59000</v>
      </c>
      <c r="S225" s="297"/>
      <c r="T225" s="297"/>
      <c r="U225" s="107">
        <v>32000</v>
      </c>
      <c r="V225" s="107">
        <f t="shared" si="73"/>
        <v>32000</v>
      </c>
      <c r="W225" s="88">
        <v>59000</v>
      </c>
      <c r="X225" s="88">
        <f t="shared" si="74"/>
        <v>59000</v>
      </c>
      <c r="Y225" s="88">
        <v>59000</v>
      </c>
      <c r="Z225" s="88">
        <f t="shared" si="75"/>
        <v>59000</v>
      </c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</row>
    <row r="226" spans="1:87" s="3" customFormat="1" ht="64.5" customHeight="1">
      <c r="A226" s="940"/>
      <c r="B226" s="953"/>
      <c r="C226" s="953"/>
      <c r="D226" s="953"/>
      <c r="E226" s="953"/>
      <c r="F226" s="953"/>
      <c r="G226" s="953"/>
      <c r="H226" s="953"/>
      <c r="I226" s="954"/>
      <c r="J226" s="827"/>
      <c r="K226" s="827"/>
      <c r="L226" s="952"/>
      <c r="M226" s="186" t="s">
        <v>578</v>
      </c>
      <c r="N226" s="615"/>
      <c r="O226" s="299">
        <v>1</v>
      </c>
      <c r="P226" s="299">
        <v>99900</v>
      </c>
      <c r="Q226" s="299">
        <f t="shared" si="76"/>
        <v>99900</v>
      </c>
      <c r="R226" s="300">
        <f t="shared" si="77"/>
        <v>99900</v>
      </c>
      <c r="S226" s="297"/>
      <c r="T226" s="297"/>
      <c r="U226" s="107">
        <v>240000</v>
      </c>
      <c r="V226" s="107">
        <f t="shared" si="73"/>
        <v>240000</v>
      </c>
      <c r="W226" s="88">
        <v>0</v>
      </c>
      <c r="X226" s="88">
        <f t="shared" si="74"/>
        <v>0</v>
      </c>
      <c r="Y226" s="88">
        <v>0</v>
      </c>
      <c r="Z226" s="88">
        <f t="shared" si="75"/>
        <v>0</v>
      </c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</row>
    <row r="227" spans="1:87" s="3" customFormat="1" ht="65.25" customHeight="1">
      <c r="A227" s="940"/>
      <c r="B227" s="953"/>
      <c r="C227" s="953"/>
      <c r="D227" s="953"/>
      <c r="E227" s="953"/>
      <c r="F227" s="953"/>
      <c r="G227" s="953"/>
      <c r="H227" s="953"/>
      <c r="I227" s="954"/>
      <c r="J227" s="827"/>
      <c r="K227" s="827"/>
      <c r="L227" s="952"/>
      <c r="M227" s="186" t="s">
        <v>579</v>
      </c>
      <c r="N227" s="615"/>
      <c r="O227" s="299">
        <v>1</v>
      </c>
      <c r="P227" s="299">
        <v>150000</v>
      </c>
      <c r="Q227" s="299">
        <f t="shared" si="76"/>
        <v>150000</v>
      </c>
      <c r="R227" s="300">
        <f t="shared" si="77"/>
        <v>150000</v>
      </c>
      <c r="S227" s="297"/>
      <c r="T227" s="297"/>
      <c r="U227" s="107">
        <v>320000</v>
      </c>
      <c r="V227" s="107">
        <f t="shared" si="73"/>
        <v>320000</v>
      </c>
      <c r="W227" s="88">
        <v>0</v>
      </c>
      <c r="X227" s="88">
        <f t="shared" si="74"/>
        <v>0</v>
      </c>
      <c r="Y227" s="88">
        <v>0</v>
      </c>
      <c r="Z227" s="88">
        <f t="shared" si="75"/>
        <v>0</v>
      </c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</row>
    <row r="228" spans="1:87" s="3" customFormat="1" ht="44.25" customHeight="1">
      <c r="A228" s="940"/>
      <c r="B228" s="953"/>
      <c r="C228" s="953"/>
      <c r="D228" s="953"/>
      <c r="E228" s="953"/>
      <c r="F228" s="953"/>
      <c r="G228" s="953"/>
      <c r="H228" s="953"/>
      <c r="I228" s="954"/>
      <c r="J228" s="827"/>
      <c r="K228" s="827"/>
      <c r="L228" s="952"/>
      <c r="M228" s="186" t="s">
        <v>580</v>
      </c>
      <c r="N228" s="615"/>
      <c r="O228" s="299">
        <v>1</v>
      </c>
      <c r="P228" s="299">
        <v>120000</v>
      </c>
      <c r="Q228" s="299">
        <f t="shared" si="76"/>
        <v>120000</v>
      </c>
      <c r="R228" s="300">
        <f t="shared" si="77"/>
        <v>120000</v>
      </c>
      <c r="S228" s="297"/>
      <c r="T228" s="297"/>
      <c r="U228" s="107">
        <v>40000</v>
      </c>
      <c r="V228" s="107">
        <f t="shared" si="73"/>
        <v>40000</v>
      </c>
      <c r="W228" s="88">
        <v>0</v>
      </c>
      <c r="X228" s="88">
        <f t="shared" si="74"/>
        <v>0</v>
      </c>
      <c r="Y228" s="88">
        <v>0</v>
      </c>
      <c r="Z228" s="88">
        <f t="shared" si="75"/>
        <v>0</v>
      </c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</row>
    <row r="229" spans="1:87" s="3" customFormat="1" ht="48" customHeight="1">
      <c r="A229" s="940"/>
      <c r="B229" s="953"/>
      <c r="C229" s="953"/>
      <c r="D229" s="953"/>
      <c r="E229" s="953"/>
      <c r="F229" s="953"/>
      <c r="G229" s="953"/>
      <c r="H229" s="953"/>
      <c r="I229" s="954"/>
      <c r="J229" s="827"/>
      <c r="K229" s="827"/>
      <c r="L229" s="952"/>
      <c r="M229" s="186" t="s">
        <v>670</v>
      </c>
      <c r="N229" s="615"/>
      <c r="O229" s="299">
        <v>2</v>
      </c>
      <c r="P229" s="299">
        <v>3000</v>
      </c>
      <c r="Q229" s="299">
        <f t="shared" si="76"/>
        <v>6000</v>
      </c>
      <c r="R229" s="300">
        <f t="shared" si="77"/>
        <v>6000</v>
      </c>
      <c r="S229" s="297"/>
      <c r="T229" s="297"/>
      <c r="U229" s="107">
        <v>50000</v>
      </c>
      <c r="V229" s="107">
        <f t="shared" si="73"/>
        <v>50000</v>
      </c>
      <c r="W229" s="88">
        <v>0</v>
      </c>
      <c r="X229" s="88">
        <f t="shared" si="74"/>
        <v>0</v>
      </c>
      <c r="Y229" s="88">
        <v>0</v>
      </c>
      <c r="Z229" s="88">
        <f t="shared" si="75"/>
        <v>0</v>
      </c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</row>
    <row r="230" spans="1:87" s="3" customFormat="1" ht="65.25" customHeight="1">
      <c r="A230" s="940"/>
      <c r="B230" s="953"/>
      <c r="C230" s="953"/>
      <c r="D230" s="953"/>
      <c r="E230" s="953"/>
      <c r="F230" s="953"/>
      <c r="G230" s="953"/>
      <c r="H230" s="953"/>
      <c r="I230" s="954"/>
      <c r="J230" s="827"/>
      <c r="K230" s="827"/>
      <c r="L230" s="952"/>
      <c r="M230" s="186" t="s">
        <v>581</v>
      </c>
      <c r="N230" s="615"/>
      <c r="O230" s="299">
        <v>6</v>
      </c>
      <c r="P230" s="299">
        <v>16500</v>
      </c>
      <c r="Q230" s="299">
        <f t="shared" si="76"/>
        <v>99000</v>
      </c>
      <c r="R230" s="300">
        <f t="shared" si="77"/>
        <v>99000</v>
      </c>
      <c r="S230" s="297"/>
      <c r="T230" s="297"/>
      <c r="U230" s="107">
        <v>60000</v>
      </c>
      <c r="V230" s="107">
        <f t="shared" si="73"/>
        <v>60000</v>
      </c>
      <c r="W230" s="88">
        <v>0</v>
      </c>
      <c r="X230" s="88">
        <f t="shared" si="74"/>
        <v>0</v>
      </c>
      <c r="Y230" s="88">
        <v>0</v>
      </c>
      <c r="Z230" s="88">
        <f t="shared" si="75"/>
        <v>0</v>
      </c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</row>
    <row r="231" spans="1:87" s="3" customFormat="1" ht="44.25" customHeight="1">
      <c r="A231" s="940"/>
      <c r="B231" s="953"/>
      <c r="C231" s="953"/>
      <c r="D231" s="953"/>
      <c r="E231" s="953"/>
      <c r="F231" s="953"/>
      <c r="G231" s="953"/>
      <c r="H231" s="953"/>
      <c r="I231" s="954"/>
      <c r="J231" s="827"/>
      <c r="K231" s="827"/>
      <c r="L231" s="952"/>
      <c r="M231" s="186" t="s">
        <v>582</v>
      </c>
      <c r="N231" s="615"/>
      <c r="O231" s="299">
        <v>2</v>
      </c>
      <c r="P231" s="299">
        <v>4000</v>
      </c>
      <c r="Q231" s="299">
        <f t="shared" si="76"/>
        <v>8000</v>
      </c>
      <c r="R231" s="300">
        <f t="shared" si="77"/>
        <v>8000</v>
      </c>
      <c r="S231" s="297"/>
      <c r="T231" s="297"/>
      <c r="U231" s="107">
        <v>180000</v>
      </c>
      <c r="V231" s="107">
        <f t="shared" si="73"/>
        <v>180000</v>
      </c>
      <c r="W231" s="88">
        <v>0</v>
      </c>
      <c r="X231" s="88">
        <f t="shared" si="74"/>
        <v>0</v>
      </c>
      <c r="Y231" s="88">
        <v>0</v>
      </c>
      <c r="Z231" s="88">
        <f t="shared" si="75"/>
        <v>0</v>
      </c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</row>
    <row r="232" spans="1:87" s="3" customFormat="1" ht="66" customHeight="1">
      <c r="A232" s="940"/>
      <c r="B232" s="953"/>
      <c r="C232" s="953"/>
      <c r="D232" s="953"/>
      <c r="E232" s="953"/>
      <c r="F232" s="953"/>
      <c r="G232" s="953"/>
      <c r="H232" s="953"/>
      <c r="I232" s="954"/>
      <c r="J232" s="827"/>
      <c r="K232" s="827"/>
      <c r="L232" s="952"/>
      <c r="M232" s="186" t="s">
        <v>583</v>
      </c>
      <c r="N232" s="615"/>
      <c r="O232" s="299">
        <v>1</v>
      </c>
      <c r="P232" s="299">
        <v>13000</v>
      </c>
      <c r="Q232" s="299">
        <f t="shared" si="76"/>
        <v>13000</v>
      </c>
      <c r="R232" s="300">
        <f t="shared" si="77"/>
        <v>13000</v>
      </c>
      <c r="S232" s="297"/>
      <c r="T232" s="297"/>
      <c r="U232" s="107">
        <v>350000</v>
      </c>
      <c r="V232" s="107">
        <f t="shared" si="73"/>
        <v>350000</v>
      </c>
      <c r="W232" s="88">
        <v>0</v>
      </c>
      <c r="X232" s="88">
        <f t="shared" si="74"/>
        <v>0</v>
      </c>
      <c r="Y232" s="88">
        <v>0</v>
      </c>
      <c r="Z232" s="88">
        <f t="shared" si="75"/>
        <v>0</v>
      </c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</row>
    <row r="233" spans="1:87" s="3" customFormat="1" ht="409.5" customHeight="1">
      <c r="A233" s="940"/>
      <c r="B233" s="953"/>
      <c r="C233" s="953"/>
      <c r="D233" s="953"/>
      <c r="E233" s="953"/>
      <c r="F233" s="953"/>
      <c r="G233" s="953"/>
      <c r="H233" s="953"/>
      <c r="I233" s="954"/>
      <c r="J233" s="827"/>
      <c r="K233" s="827"/>
      <c r="L233" s="952"/>
      <c r="M233" s="186" t="s">
        <v>584</v>
      </c>
      <c r="N233" s="615"/>
      <c r="O233" s="299">
        <v>4</v>
      </c>
      <c r="P233" s="299">
        <v>2000</v>
      </c>
      <c r="Q233" s="299">
        <f t="shared" si="76"/>
        <v>8000</v>
      </c>
      <c r="R233" s="300">
        <f t="shared" si="77"/>
        <v>8000</v>
      </c>
      <c r="S233" s="297"/>
      <c r="T233" s="297"/>
      <c r="U233" s="107">
        <v>454502</v>
      </c>
      <c r="V233" s="107">
        <f t="shared" si="73"/>
        <v>454502</v>
      </c>
      <c r="W233" s="88">
        <v>0</v>
      </c>
      <c r="X233" s="88">
        <f t="shared" si="74"/>
        <v>0</v>
      </c>
      <c r="Y233" s="88">
        <v>0</v>
      </c>
      <c r="Z233" s="88">
        <f t="shared" si="75"/>
        <v>0</v>
      </c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</row>
    <row r="234" spans="1:87" s="3" customFormat="1" ht="87.75" customHeight="1">
      <c r="A234" s="940"/>
      <c r="B234" s="953"/>
      <c r="C234" s="953"/>
      <c r="D234" s="953"/>
      <c r="E234" s="953"/>
      <c r="F234" s="953"/>
      <c r="G234" s="953"/>
      <c r="H234" s="953"/>
      <c r="I234" s="954"/>
      <c r="J234" s="827"/>
      <c r="K234" s="827"/>
      <c r="L234" s="952"/>
      <c r="M234" s="186" t="s">
        <v>585</v>
      </c>
      <c r="N234" s="615"/>
      <c r="O234" s="299">
        <v>4</v>
      </c>
      <c r="P234" s="299">
        <v>4000</v>
      </c>
      <c r="Q234" s="299">
        <f t="shared" si="76"/>
        <v>16000</v>
      </c>
      <c r="R234" s="300">
        <f t="shared" si="77"/>
        <v>16000</v>
      </c>
      <c r="S234" s="297"/>
      <c r="T234" s="297"/>
      <c r="U234" s="107">
        <v>120000</v>
      </c>
      <c r="V234" s="107">
        <f t="shared" si="73"/>
        <v>120000</v>
      </c>
      <c r="W234" s="88">
        <v>0</v>
      </c>
      <c r="X234" s="88">
        <f t="shared" si="74"/>
        <v>0</v>
      </c>
      <c r="Y234" s="88">
        <v>0</v>
      </c>
      <c r="Z234" s="88">
        <f t="shared" si="75"/>
        <v>0</v>
      </c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</row>
    <row r="235" spans="1:87" s="3" customFormat="1" ht="177" customHeight="1">
      <c r="A235" s="940"/>
      <c r="B235" s="953"/>
      <c r="C235" s="953"/>
      <c r="D235" s="953"/>
      <c r="E235" s="953"/>
      <c r="F235" s="953"/>
      <c r="G235" s="953"/>
      <c r="H235" s="953"/>
      <c r="I235" s="954"/>
      <c r="J235" s="827"/>
      <c r="K235" s="827"/>
      <c r="L235" s="952"/>
      <c r="M235" s="186" t="s">
        <v>671</v>
      </c>
      <c r="N235" s="615"/>
      <c r="O235" s="299">
        <v>1</v>
      </c>
      <c r="P235" s="299">
        <v>58000</v>
      </c>
      <c r="Q235" s="299">
        <f t="shared" si="76"/>
        <v>58000</v>
      </c>
      <c r="R235" s="300">
        <f t="shared" si="77"/>
        <v>58000</v>
      </c>
      <c r="S235" s="297"/>
      <c r="T235" s="297"/>
      <c r="U235" s="107">
        <v>190000</v>
      </c>
      <c r="V235" s="107">
        <f t="shared" si="73"/>
        <v>190000</v>
      </c>
      <c r="W235" s="88">
        <v>0</v>
      </c>
      <c r="X235" s="88">
        <f t="shared" si="74"/>
        <v>0</v>
      </c>
      <c r="Y235" s="88">
        <v>0</v>
      </c>
      <c r="Z235" s="88">
        <f t="shared" si="75"/>
        <v>0</v>
      </c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</row>
    <row r="236" spans="1:87" s="3" customFormat="1" ht="68.25" customHeight="1">
      <c r="A236" s="940"/>
      <c r="B236" s="953"/>
      <c r="C236" s="953"/>
      <c r="D236" s="953"/>
      <c r="E236" s="953"/>
      <c r="F236" s="953"/>
      <c r="G236" s="953"/>
      <c r="H236" s="953"/>
      <c r="I236" s="954"/>
      <c r="J236" s="827"/>
      <c r="K236" s="827"/>
      <c r="L236" s="952"/>
      <c r="M236" s="186" t="s">
        <v>586</v>
      </c>
      <c r="N236" s="615"/>
      <c r="O236" s="299">
        <v>1</v>
      </c>
      <c r="P236" s="299">
        <v>36500</v>
      </c>
      <c r="Q236" s="299">
        <f t="shared" si="76"/>
        <v>36500</v>
      </c>
      <c r="R236" s="300">
        <f t="shared" si="77"/>
        <v>36500</v>
      </c>
      <c r="S236" s="297"/>
      <c r="T236" s="297"/>
      <c r="U236" s="107">
        <v>180000</v>
      </c>
      <c r="V236" s="107">
        <f t="shared" si="73"/>
        <v>180000</v>
      </c>
      <c r="W236" s="88">
        <v>0</v>
      </c>
      <c r="X236" s="88">
        <f t="shared" si="74"/>
        <v>0</v>
      </c>
      <c r="Y236" s="88">
        <v>0</v>
      </c>
      <c r="Z236" s="88">
        <f t="shared" si="75"/>
        <v>0</v>
      </c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</row>
    <row r="237" spans="1:87" s="3" customFormat="1" ht="43.5" customHeight="1">
      <c r="A237" s="940"/>
      <c r="B237" s="953"/>
      <c r="C237" s="953"/>
      <c r="D237" s="953"/>
      <c r="E237" s="953"/>
      <c r="F237" s="953"/>
      <c r="G237" s="953"/>
      <c r="H237" s="953"/>
      <c r="I237" s="954"/>
      <c r="J237" s="827"/>
      <c r="K237" s="827"/>
      <c r="L237" s="952"/>
      <c r="M237" s="186" t="s">
        <v>591</v>
      </c>
      <c r="N237" s="615"/>
      <c r="O237" s="299">
        <v>1</v>
      </c>
      <c r="P237" s="299">
        <v>9500</v>
      </c>
      <c r="Q237" s="299">
        <f t="shared" si="76"/>
        <v>9500</v>
      </c>
      <c r="R237" s="300">
        <f t="shared" si="77"/>
        <v>9500</v>
      </c>
      <c r="S237" s="297"/>
      <c r="T237" s="297"/>
      <c r="U237" s="107">
        <v>36000</v>
      </c>
      <c r="V237" s="107">
        <f t="shared" si="73"/>
        <v>36000</v>
      </c>
      <c r="W237" s="88">
        <v>0</v>
      </c>
      <c r="X237" s="88">
        <f t="shared" si="74"/>
        <v>0</v>
      </c>
      <c r="Y237" s="88">
        <v>0</v>
      </c>
      <c r="Z237" s="88">
        <f t="shared" si="75"/>
        <v>0</v>
      </c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</row>
    <row r="238" spans="1:87" s="3" customFormat="1" ht="89.25" customHeight="1">
      <c r="A238" s="940"/>
      <c r="B238" s="953"/>
      <c r="C238" s="953"/>
      <c r="D238" s="953"/>
      <c r="E238" s="953"/>
      <c r="F238" s="953"/>
      <c r="G238" s="953"/>
      <c r="H238" s="953"/>
      <c r="I238" s="954"/>
      <c r="J238" s="827"/>
      <c r="K238" s="827"/>
      <c r="L238" s="952"/>
      <c r="M238" s="186" t="s">
        <v>590</v>
      </c>
      <c r="N238" s="615"/>
      <c r="O238" s="299">
        <v>1</v>
      </c>
      <c r="P238" s="299">
        <v>105000</v>
      </c>
      <c r="Q238" s="299">
        <f t="shared" si="76"/>
        <v>105000</v>
      </c>
      <c r="R238" s="300">
        <f t="shared" si="77"/>
        <v>105000</v>
      </c>
      <c r="S238" s="297"/>
      <c r="T238" s="297"/>
      <c r="U238" s="107">
        <v>1000000</v>
      </c>
      <c r="V238" s="107">
        <f t="shared" si="73"/>
        <v>1000000</v>
      </c>
      <c r="W238" s="88">
        <v>0</v>
      </c>
      <c r="X238" s="88">
        <f t="shared" si="74"/>
        <v>0</v>
      </c>
      <c r="Y238" s="88">
        <v>0</v>
      </c>
      <c r="Z238" s="88">
        <f t="shared" si="75"/>
        <v>0</v>
      </c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</row>
    <row r="239" spans="1:87" s="3" customFormat="1" ht="66" customHeight="1">
      <c r="A239" s="940"/>
      <c r="B239" s="953"/>
      <c r="C239" s="953"/>
      <c r="D239" s="953"/>
      <c r="E239" s="953"/>
      <c r="F239" s="953"/>
      <c r="G239" s="953"/>
      <c r="H239" s="953"/>
      <c r="I239" s="954"/>
      <c r="J239" s="827"/>
      <c r="K239" s="827"/>
      <c r="L239" s="952"/>
      <c r="M239" s="301" t="s">
        <v>606</v>
      </c>
      <c r="N239" s="615"/>
      <c r="O239" s="299">
        <v>1</v>
      </c>
      <c r="P239" s="299">
        <v>300000</v>
      </c>
      <c r="Q239" s="299">
        <f t="shared" si="76"/>
        <v>300000</v>
      </c>
      <c r="R239" s="300">
        <f t="shared" si="77"/>
        <v>300000</v>
      </c>
      <c r="S239" s="297"/>
      <c r="T239" s="297"/>
      <c r="U239" s="107">
        <v>55000</v>
      </c>
      <c r="V239" s="107">
        <f t="shared" si="73"/>
        <v>55000</v>
      </c>
      <c r="W239" s="88">
        <v>0</v>
      </c>
      <c r="X239" s="88">
        <f t="shared" si="74"/>
        <v>0</v>
      </c>
      <c r="Y239" s="88">
        <v>0</v>
      </c>
      <c r="Z239" s="88">
        <f t="shared" si="75"/>
        <v>0</v>
      </c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</row>
    <row r="240" spans="1:87" s="3" customFormat="1" ht="40.5">
      <c r="A240" s="940"/>
      <c r="B240" s="953"/>
      <c r="C240" s="953"/>
      <c r="D240" s="953"/>
      <c r="E240" s="953"/>
      <c r="F240" s="953"/>
      <c r="G240" s="953"/>
      <c r="H240" s="953"/>
      <c r="I240" s="954"/>
      <c r="J240" s="827"/>
      <c r="K240" s="827"/>
      <c r="L240" s="952"/>
      <c r="M240" s="186" t="s">
        <v>588</v>
      </c>
      <c r="N240" s="615"/>
      <c r="O240" s="299">
        <v>1</v>
      </c>
      <c r="P240" s="299">
        <v>4000</v>
      </c>
      <c r="Q240" s="299">
        <f t="shared" si="76"/>
        <v>4000</v>
      </c>
      <c r="R240" s="300">
        <f t="shared" si="77"/>
        <v>4000</v>
      </c>
      <c r="S240" s="297"/>
      <c r="T240" s="297"/>
      <c r="U240" s="107">
        <v>48000</v>
      </c>
      <c r="V240" s="107">
        <f t="shared" si="73"/>
        <v>48000</v>
      </c>
      <c r="W240" s="88">
        <v>0</v>
      </c>
      <c r="X240" s="88">
        <f t="shared" si="74"/>
        <v>0</v>
      </c>
      <c r="Y240" s="88">
        <v>0</v>
      </c>
      <c r="Z240" s="88">
        <f t="shared" si="75"/>
        <v>0</v>
      </c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</row>
    <row r="241" spans="1:87" s="3" customFormat="1" ht="40.5">
      <c r="A241" s="940"/>
      <c r="B241" s="953"/>
      <c r="C241" s="953"/>
      <c r="D241" s="953"/>
      <c r="E241" s="953"/>
      <c r="F241" s="953"/>
      <c r="G241" s="953"/>
      <c r="H241" s="953"/>
      <c r="I241" s="954"/>
      <c r="J241" s="827"/>
      <c r="K241" s="827"/>
      <c r="L241" s="952"/>
      <c r="M241" s="186" t="s">
        <v>587</v>
      </c>
      <c r="N241" s="615"/>
      <c r="O241" s="299">
        <v>1</v>
      </c>
      <c r="P241" s="299">
        <v>15000000</v>
      </c>
      <c r="Q241" s="299">
        <f t="shared" si="76"/>
        <v>15000000</v>
      </c>
      <c r="R241" s="300">
        <f t="shared" si="77"/>
        <v>15000000</v>
      </c>
      <c r="S241" s="297"/>
      <c r="T241" s="297"/>
      <c r="U241" s="107">
        <v>120000</v>
      </c>
      <c r="V241" s="107">
        <f t="shared" si="73"/>
        <v>120000</v>
      </c>
      <c r="W241" s="88">
        <v>0</v>
      </c>
      <c r="X241" s="88">
        <f t="shared" si="74"/>
        <v>0</v>
      </c>
      <c r="Y241" s="88">
        <v>0</v>
      </c>
      <c r="Z241" s="88">
        <f t="shared" si="75"/>
        <v>0</v>
      </c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</row>
    <row r="242" spans="1:87" s="3" customFormat="1" ht="23.25">
      <c r="A242" s="940"/>
      <c r="B242" s="953"/>
      <c r="C242" s="953"/>
      <c r="D242" s="953"/>
      <c r="E242" s="953"/>
      <c r="F242" s="953"/>
      <c r="G242" s="953"/>
      <c r="H242" s="953"/>
      <c r="I242" s="954"/>
      <c r="J242" s="827"/>
      <c r="K242" s="827"/>
      <c r="L242" s="952"/>
      <c r="M242" s="186" t="s">
        <v>589</v>
      </c>
      <c r="N242" s="615"/>
      <c r="O242" s="299">
        <v>1</v>
      </c>
      <c r="P242" s="299">
        <v>20000</v>
      </c>
      <c r="Q242" s="299">
        <f t="shared" si="76"/>
        <v>20000</v>
      </c>
      <c r="R242" s="300">
        <f t="shared" si="77"/>
        <v>20000</v>
      </c>
      <c r="S242" s="297"/>
      <c r="T242" s="297"/>
      <c r="U242" s="107">
        <v>200000</v>
      </c>
      <c r="V242" s="107">
        <f t="shared" si="73"/>
        <v>200000</v>
      </c>
      <c r="W242" s="88">
        <v>0</v>
      </c>
      <c r="X242" s="88">
        <f t="shared" si="74"/>
        <v>0</v>
      </c>
      <c r="Y242" s="88">
        <v>0</v>
      </c>
      <c r="Z242" s="88">
        <f t="shared" si="75"/>
        <v>0</v>
      </c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</row>
    <row r="243" spans="1:87" s="3" customFormat="1" ht="81">
      <c r="A243" s="940"/>
      <c r="B243" s="953"/>
      <c r="C243" s="953"/>
      <c r="D243" s="953"/>
      <c r="E243" s="953"/>
      <c r="F243" s="953"/>
      <c r="G243" s="953"/>
      <c r="H243" s="953"/>
      <c r="I243" s="954"/>
      <c r="J243" s="827"/>
      <c r="K243" s="827"/>
      <c r="L243" s="952"/>
      <c r="M243" s="186" t="s">
        <v>592</v>
      </c>
      <c r="N243" s="615"/>
      <c r="O243" s="299">
        <v>1</v>
      </c>
      <c r="P243" s="299">
        <v>7000</v>
      </c>
      <c r="Q243" s="299">
        <f t="shared" si="76"/>
        <v>7000</v>
      </c>
      <c r="R243" s="302">
        <f t="shared" si="77"/>
        <v>7000</v>
      </c>
      <c r="S243" s="297"/>
      <c r="T243" s="297"/>
      <c r="U243" s="107">
        <v>63000</v>
      </c>
      <c r="V243" s="107">
        <f t="shared" si="73"/>
        <v>63000</v>
      </c>
      <c r="W243" s="88">
        <v>0</v>
      </c>
      <c r="X243" s="88">
        <f t="shared" si="74"/>
        <v>0</v>
      </c>
      <c r="Y243" s="88">
        <v>0</v>
      </c>
      <c r="Z243" s="88">
        <f t="shared" si="75"/>
        <v>0</v>
      </c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</row>
    <row r="244" spans="1:87" s="3" customFormat="1" ht="60.75">
      <c r="A244" s="940"/>
      <c r="B244" s="953"/>
      <c r="C244" s="953"/>
      <c r="D244" s="953"/>
      <c r="E244" s="953"/>
      <c r="F244" s="953"/>
      <c r="G244" s="953"/>
      <c r="H244" s="953"/>
      <c r="I244" s="954"/>
      <c r="J244" s="827"/>
      <c r="K244" s="827"/>
      <c r="L244" s="952"/>
      <c r="M244" s="303" t="s">
        <v>593</v>
      </c>
      <c r="N244" s="615"/>
      <c r="O244" s="299">
        <v>1</v>
      </c>
      <c r="P244" s="299">
        <v>600000</v>
      </c>
      <c r="Q244" s="299">
        <f t="shared" si="76"/>
        <v>600000</v>
      </c>
      <c r="R244" s="304">
        <f t="shared" si="77"/>
        <v>600000</v>
      </c>
      <c r="S244" s="297"/>
      <c r="T244" s="297"/>
      <c r="U244" s="88">
        <v>0</v>
      </c>
      <c r="V244" s="107">
        <f t="shared" si="73"/>
        <v>0</v>
      </c>
      <c r="W244" s="88">
        <v>600000</v>
      </c>
      <c r="X244" s="88">
        <f t="shared" si="74"/>
        <v>600000</v>
      </c>
      <c r="Y244" s="88">
        <v>600000</v>
      </c>
      <c r="Z244" s="88">
        <f t="shared" si="75"/>
        <v>600000</v>
      </c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</row>
    <row r="245" spans="1:87" s="3" customFormat="1" ht="86.25" customHeight="1">
      <c r="A245" s="940"/>
      <c r="B245" s="953"/>
      <c r="C245" s="953"/>
      <c r="D245" s="953"/>
      <c r="E245" s="953"/>
      <c r="F245" s="953"/>
      <c r="G245" s="953"/>
      <c r="H245" s="953"/>
      <c r="I245" s="954"/>
      <c r="J245" s="827"/>
      <c r="K245" s="827"/>
      <c r="L245" s="952"/>
      <c r="M245" s="305" t="s">
        <v>594</v>
      </c>
      <c r="N245" s="612"/>
      <c r="O245" s="306">
        <v>1</v>
      </c>
      <c r="P245" s="307">
        <v>90000</v>
      </c>
      <c r="Q245" s="307">
        <f t="shared" si="76"/>
        <v>90000</v>
      </c>
      <c r="R245" s="300">
        <f t="shared" si="77"/>
        <v>90000</v>
      </c>
      <c r="S245" s="297"/>
      <c r="T245" s="308"/>
      <c r="U245" s="88">
        <v>0</v>
      </c>
      <c r="V245" s="107">
        <f t="shared" si="73"/>
        <v>0</v>
      </c>
      <c r="W245" s="88">
        <v>89751</v>
      </c>
      <c r="X245" s="88">
        <f t="shared" si="74"/>
        <v>89751</v>
      </c>
      <c r="Y245" s="88">
        <v>89751</v>
      </c>
      <c r="Z245" s="88">
        <f t="shared" si="75"/>
        <v>89751</v>
      </c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</row>
    <row r="246" spans="1:87" s="3" customFormat="1" ht="48.75" customHeight="1">
      <c r="A246" s="940"/>
      <c r="B246" s="953"/>
      <c r="C246" s="953"/>
      <c r="D246" s="953"/>
      <c r="E246" s="953"/>
      <c r="F246" s="953"/>
      <c r="G246" s="953"/>
      <c r="H246" s="953"/>
      <c r="I246" s="954"/>
      <c r="J246" s="827"/>
      <c r="K246" s="827"/>
      <c r="L246" s="952"/>
      <c r="M246" s="305" t="s">
        <v>595</v>
      </c>
      <c r="N246" s="612"/>
      <c r="O246" s="306">
        <v>5</v>
      </c>
      <c r="P246" s="307">
        <v>17280</v>
      </c>
      <c r="Q246" s="307">
        <v>86400</v>
      </c>
      <c r="R246" s="292"/>
      <c r="S246" s="297">
        <f aca="true" t="shared" si="78" ref="S246:S262">ROUND(O246*P246,0)</f>
        <v>86400</v>
      </c>
      <c r="T246" s="308"/>
      <c r="U246" s="88">
        <v>0</v>
      </c>
      <c r="V246" s="107">
        <f t="shared" si="73"/>
        <v>0</v>
      </c>
      <c r="W246" s="88">
        <v>86400</v>
      </c>
      <c r="X246" s="88">
        <f t="shared" si="74"/>
        <v>86400</v>
      </c>
      <c r="Y246" s="88">
        <v>86400</v>
      </c>
      <c r="Z246" s="88">
        <f t="shared" si="75"/>
        <v>86400</v>
      </c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</row>
    <row r="247" spans="1:87" s="3" customFormat="1" ht="40.5">
      <c r="A247" s="940"/>
      <c r="B247" s="953"/>
      <c r="C247" s="953"/>
      <c r="D247" s="953"/>
      <c r="E247" s="953"/>
      <c r="F247" s="953"/>
      <c r="G247" s="953"/>
      <c r="H247" s="953"/>
      <c r="I247" s="954"/>
      <c r="J247" s="827"/>
      <c r="K247" s="827"/>
      <c r="L247" s="952"/>
      <c r="M247" s="305" t="s">
        <v>596</v>
      </c>
      <c r="N247" s="612"/>
      <c r="O247" s="306">
        <v>5</v>
      </c>
      <c r="P247" s="307">
        <v>4000</v>
      </c>
      <c r="Q247" s="307">
        <v>20000</v>
      </c>
      <c r="R247" s="292"/>
      <c r="S247" s="297">
        <f t="shared" si="78"/>
        <v>20000</v>
      </c>
      <c r="T247" s="308"/>
      <c r="U247" s="88">
        <v>0</v>
      </c>
      <c r="V247" s="107">
        <f t="shared" si="73"/>
        <v>0</v>
      </c>
      <c r="W247" s="88">
        <v>20000</v>
      </c>
      <c r="X247" s="88">
        <f t="shared" si="74"/>
        <v>20000</v>
      </c>
      <c r="Y247" s="88">
        <v>20000</v>
      </c>
      <c r="Z247" s="88">
        <f t="shared" si="75"/>
        <v>20000</v>
      </c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</row>
    <row r="248" spans="1:87" s="3" customFormat="1" ht="40.5">
      <c r="A248" s="940"/>
      <c r="B248" s="953"/>
      <c r="C248" s="953"/>
      <c r="D248" s="953"/>
      <c r="E248" s="953"/>
      <c r="F248" s="953"/>
      <c r="G248" s="953"/>
      <c r="H248" s="953"/>
      <c r="I248" s="954"/>
      <c r="J248" s="827"/>
      <c r="K248" s="827"/>
      <c r="L248" s="952"/>
      <c r="M248" s="305" t="s">
        <v>597</v>
      </c>
      <c r="N248" s="612"/>
      <c r="O248" s="306">
        <v>10</v>
      </c>
      <c r="P248" s="307">
        <v>16500</v>
      </c>
      <c r="Q248" s="307">
        <v>165000</v>
      </c>
      <c r="R248" s="292"/>
      <c r="S248" s="297">
        <f t="shared" si="78"/>
        <v>165000</v>
      </c>
      <c r="T248" s="308"/>
      <c r="U248" s="88">
        <v>0</v>
      </c>
      <c r="V248" s="107">
        <f t="shared" si="73"/>
        <v>0</v>
      </c>
      <c r="W248" s="88">
        <v>165000</v>
      </c>
      <c r="X248" s="88">
        <f t="shared" si="74"/>
        <v>165000</v>
      </c>
      <c r="Y248" s="88">
        <v>165000</v>
      </c>
      <c r="Z248" s="88">
        <f t="shared" si="75"/>
        <v>165000</v>
      </c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</row>
    <row r="249" spans="1:87" s="3" customFormat="1" ht="56.25" customHeight="1">
      <c r="A249" s="940"/>
      <c r="B249" s="953"/>
      <c r="C249" s="953"/>
      <c r="D249" s="953"/>
      <c r="E249" s="953"/>
      <c r="F249" s="953"/>
      <c r="G249" s="953"/>
      <c r="H249" s="953"/>
      <c r="I249" s="954"/>
      <c r="J249" s="827"/>
      <c r="K249" s="827"/>
      <c r="L249" s="952"/>
      <c r="M249" s="305" t="s">
        <v>598</v>
      </c>
      <c r="N249" s="612"/>
      <c r="O249" s="306">
        <v>10</v>
      </c>
      <c r="P249" s="307">
        <v>4000</v>
      </c>
      <c r="Q249" s="307">
        <v>40000</v>
      </c>
      <c r="R249" s="292"/>
      <c r="S249" s="297">
        <f t="shared" si="78"/>
        <v>40000</v>
      </c>
      <c r="T249" s="308"/>
      <c r="U249" s="88">
        <v>0</v>
      </c>
      <c r="V249" s="107">
        <f t="shared" si="73"/>
        <v>0</v>
      </c>
      <c r="W249" s="88">
        <v>40000</v>
      </c>
      <c r="X249" s="88">
        <f t="shared" si="74"/>
        <v>40000</v>
      </c>
      <c r="Y249" s="88">
        <v>40000</v>
      </c>
      <c r="Z249" s="88">
        <f t="shared" si="75"/>
        <v>40000</v>
      </c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</row>
    <row r="250" spans="1:87" s="3" customFormat="1" ht="48.75" customHeight="1">
      <c r="A250" s="940"/>
      <c r="B250" s="953"/>
      <c r="C250" s="953"/>
      <c r="D250" s="953"/>
      <c r="E250" s="953"/>
      <c r="F250" s="953"/>
      <c r="G250" s="953"/>
      <c r="H250" s="953"/>
      <c r="I250" s="954"/>
      <c r="J250" s="827"/>
      <c r="K250" s="827"/>
      <c r="L250" s="952"/>
      <c r="M250" s="305" t="s">
        <v>672</v>
      </c>
      <c r="N250" s="612"/>
      <c r="O250" s="306">
        <v>1</v>
      </c>
      <c r="P250" s="307">
        <v>4000</v>
      </c>
      <c r="Q250" s="307">
        <v>4000</v>
      </c>
      <c r="R250" s="292"/>
      <c r="S250" s="297">
        <v>8000</v>
      </c>
      <c r="T250" s="308"/>
      <c r="U250" s="88">
        <v>0</v>
      </c>
      <c r="V250" s="107">
        <f t="shared" si="73"/>
        <v>0</v>
      </c>
      <c r="W250" s="88">
        <v>8000</v>
      </c>
      <c r="X250" s="88">
        <f t="shared" si="74"/>
        <v>8000</v>
      </c>
      <c r="Y250" s="88">
        <v>8000</v>
      </c>
      <c r="Z250" s="88">
        <f t="shared" si="75"/>
        <v>8000</v>
      </c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</row>
    <row r="251" spans="1:87" s="3" customFormat="1" ht="35.25" customHeight="1">
      <c r="A251" s="940"/>
      <c r="B251" s="953"/>
      <c r="C251" s="953"/>
      <c r="D251" s="953"/>
      <c r="E251" s="953"/>
      <c r="F251" s="953"/>
      <c r="G251" s="953"/>
      <c r="H251" s="953"/>
      <c r="I251" s="954"/>
      <c r="J251" s="827"/>
      <c r="K251" s="827"/>
      <c r="L251" s="952"/>
      <c r="M251" s="305" t="s">
        <v>599</v>
      </c>
      <c r="N251" s="612"/>
      <c r="O251" s="306">
        <v>2</v>
      </c>
      <c r="P251" s="307">
        <v>2000</v>
      </c>
      <c r="Q251" s="307">
        <v>4000</v>
      </c>
      <c r="R251" s="292"/>
      <c r="S251" s="297">
        <f t="shared" si="78"/>
        <v>4000</v>
      </c>
      <c r="T251" s="308"/>
      <c r="U251" s="88">
        <v>0</v>
      </c>
      <c r="V251" s="107">
        <f t="shared" si="73"/>
        <v>0</v>
      </c>
      <c r="W251" s="88">
        <v>4000</v>
      </c>
      <c r="X251" s="88">
        <f t="shared" si="74"/>
        <v>4000</v>
      </c>
      <c r="Y251" s="88">
        <v>4000</v>
      </c>
      <c r="Z251" s="88">
        <f t="shared" si="75"/>
        <v>4000</v>
      </c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</row>
    <row r="252" spans="1:87" s="3" customFormat="1" ht="33" customHeight="1">
      <c r="A252" s="940"/>
      <c r="B252" s="953"/>
      <c r="C252" s="953"/>
      <c r="D252" s="953"/>
      <c r="E252" s="953"/>
      <c r="F252" s="953"/>
      <c r="G252" s="953"/>
      <c r="H252" s="953"/>
      <c r="I252" s="954"/>
      <c r="J252" s="827"/>
      <c r="K252" s="827"/>
      <c r="L252" s="952"/>
      <c r="M252" s="305" t="s">
        <v>576</v>
      </c>
      <c r="N252" s="612"/>
      <c r="O252" s="306">
        <v>2</v>
      </c>
      <c r="P252" s="307">
        <v>3000</v>
      </c>
      <c r="Q252" s="307">
        <v>6000</v>
      </c>
      <c r="R252" s="292"/>
      <c r="S252" s="297">
        <f t="shared" si="78"/>
        <v>6000</v>
      </c>
      <c r="T252" s="308"/>
      <c r="U252" s="88">
        <v>0</v>
      </c>
      <c r="V252" s="107">
        <f t="shared" si="73"/>
        <v>0</v>
      </c>
      <c r="W252" s="88">
        <v>6000</v>
      </c>
      <c r="X252" s="88">
        <f t="shared" si="74"/>
        <v>6000</v>
      </c>
      <c r="Y252" s="88">
        <v>6000</v>
      </c>
      <c r="Z252" s="88">
        <f t="shared" si="75"/>
        <v>6000</v>
      </c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</row>
    <row r="253" spans="1:87" s="3" customFormat="1" ht="71.25" customHeight="1">
      <c r="A253" s="940"/>
      <c r="B253" s="953"/>
      <c r="C253" s="953"/>
      <c r="D253" s="953"/>
      <c r="E253" s="953"/>
      <c r="F253" s="953"/>
      <c r="G253" s="953"/>
      <c r="H253" s="953"/>
      <c r="I253" s="954"/>
      <c r="J253" s="827"/>
      <c r="K253" s="827"/>
      <c r="L253" s="952"/>
      <c r="M253" s="305" t="s">
        <v>577</v>
      </c>
      <c r="N253" s="612"/>
      <c r="O253" s="306">
        <v>2</v>
      </c>
      <c r="P253" s="307">
        <v>4000</v>
      </c>
      <c r="Q253" s="307">
        <v>8000</v>
      </c>
      <c r="R253" s="292"/>
      <c r="S253" s="297">
        <f t="shared" si="78"/>
        <v>8000</v>
      </c>
      <c r="T253" s="308"/>
      <c r="U253" s="88">
        <v>0</v>
      </c>
      <c r="V253" s="107">
        <f t="shared" si="73"/>
        <v>0</v>
      </c>
      <c r="W253" s="88">
        <v>8000</v>
      </c>
      <c r="X253" s="88">
        <f t="shared" si="74"/>
        <v>8000</v>
      </c>
      <c r="Y253" s="88">
        <v>8000</v>
      </c>
      <c r="Z253" s="88">
        <f t="shared" si="75"/>
        <v>8000</v>
      </c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</row>
    <row r="254" spans="1:87" s="3" customFormat="1" ht="40.5">
      <c r="A254" s="940"/>
      <c r="B254" s="953"/>
      <c r="C254" s="953"/>
      <c r="D254" s="953"/>
      <c r="E254" s="953"/>
      <c r="F254" s="953"/>
      <c r="G254" s="953"/>
      <c r="H254" s="953"/>
      <c r="I254" s="954"/>
      <c r="J254" s="827"/>
      <c r="K254" s="827"/>
      <c r="L254" s="952"/>
      <c r="M254" s="305" t="s">
        <v>600</v>
      </c>
      <c r="N254" s="612"/>
      <c r="O254" s="306">
        <v>1</v>
      </c>
      <c r="P254" s="307">
        <v>58000</v>
      </c>
      <c r="Q254" s="307">
        <v>58000</v>
      </c>
      <c r="R254" s="292"/>
      <c r="S254" s="297">
        <f t="shared" si="78"/>
        <v>58000</v>
      </c>
      <c r="T254" s="308"/>
      <c r="U254" s="88">
        <v>0</v>
      </c>
      <c r="V254" s="107">
        <f t="shared" si="73"/>
        <v>0</v>
      </c>
      <c r="W254" s="88">
        <v>58000</v>
      </c>
      <c r="X254" s="88">
        <f t="shared" si="74"/>
        <v>58000</v>
      </c>
      <c r="Y254" s="88">
        <v>58000</v>
      </c>
      <c r="Z254" s="88">
        <f t="shared" si="75"/>
        <v>58000</v>
      </c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</row>
    <row r="255" spans="1:87" s="3" customFormat="1" ht="53.25" customHeight="1">
      <c r="A255" s="940"/>
      <c r="B255" s="953"/>
      <c r="C255" s="953"/>
      <c r="D255" s="953"/>
      <c r="E255" s="953"/>
      <c r="F255" s="953"/>
      <c r="G255" s="953"/>
      <c r="H255" s="953"/>
      <c r="I255" s="954"/>
      <c r="J255" s="827"/>
      <c r="K255" s="827"/>
      <c r="L255" s="952"/>
      <c r="M255" s="305" t="s">
        <v>601</v>
      </c>
      <c r="N255" s="612"/>
      <c r="O255" s="306">
        <v>1</v>
      </c>
      <c r="P255" s="307">
        <v>9500</v>
      </c>
      <c r="Q255" s="307">
        <v>9500</v>
      </c>
      <c r="R255" s="292"/>
      <c r="S255" s="297">
        <f t="shared" si="78"/>
        <v>9500</v>
      </c>
      <c r="T255" s="308"/>
      <c r="U255" s="88">
        <v>0</v>
      </c>
      <c r="V255" s="107">
        <f t="shared" si="73"/>
        <v>0</v>
      </c>
      <c r="W255" s="88">
        <v>9500</v>
      </c>
      <c r="X255" s="88">
        <f t="shared" si="74"/>
        <v>9500</v>
      </c>
      <c r="Y255" s="88">
        <v>9500</v>
      </c>
      <c r="Z255" s="88">
        <f t="shared" si="75"/>
        <v>9500</v>
      </c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</row>
    <row r="256" spans="1:87" s="3" customFormat="1" ht="52.5" customHeight="1">
      <c r="A256" s="940"/>
      <c r="B256" s="953"/>
      <c r="C256" s="953"/>
      <c r="D256" s="953"/>
      <c r="E256" s="953"/>
      <c r="F256" s="953"/>
      <c r="G256" s="953"/>
      <c r="H256" s="953"/>
      <c r="I256" s="954"/>
      <c r="J256" s="827"/>
      <c r="K256" s="827"/>
      <c r="L256" s="952"/>
      <c r="M256" s="305" t="s">
        <v>673</v>
      </c>
      <c r="N256" s="612"/>
      <c r="O256" s="306">
        <v>1</v>
      </c>
      <c r="P256" s="307">
        <v>105000</v>
      </c>
      <c r="Q256" s="307">
        <v>105000</v>
      </c>
      <c r="R256" s="292"/>
      <c r="S256" s="297">
        <f t="shared" si="78"/>
        <v>105000</v>
      </c>
      <c r="T256" s="308"/>
      <c r="U256" s="88">
        <v>0</v>
      </c>
      <c r="V256" s="107">
        <f t="shared" si="73"/>
        <v>0</v>
      </c>
      <c r="W256" s="88">
        <v>105000</v>
      </c>
      <c r="X256" s="88">
        <f t="shared" si="74"/>
        <v>105000</v>
      </c>
      <c r="Y256" s="88">
        <v>105000</v>
      </c>
      <c r="Z256" s="88">
        <f t="shared" si="75"/>
        <v>105000</v>
      </c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</row>
    <row r="257" spans="1:87" s="3" customFormat="1" ht="81" customHeight="1">
      <c r="A257" s="940"/>
      <c r="B257" s="953"/>
      <c r="C257" s="953"/>
      <c r="D257" s="953"/>
      <c r="E257" s="953"/>
      <c r="F257" s="953"/>
      <c r="G257" s="953"/>
      <c r="H257" s="953"/>
      <c r="I257" s="954"/>
      <c r="J257" s="827"/>
      <c r="K257" s="827"/>
      <c r="L257" s="952"/>
      <c r="M257" s="305" t="s">
        <v>602</v>
      </c>
      <c r="N257" s="612"/>
      <c r="O257" s="306">
        <v>1</v>
      </c>
      <c r="P257" s="307">
        <v>300000</v>
      </c>
      <c r="Q257" s="307">
        <v>300000</v>
      </c>
      <c r="R257" s="292"/>
      <c r="S257" s="297">
        <f t="shared" si="78"/>
        <v>300000</v>
      </c>
      <c r="T257" s="308"/>
      <c r="U257" s="88">
        <v>0</v>
      </c>
      <c r="V257" s="107">
        <f t="shared" si="73"/>
        <v>0</v>
      </c>
      <c r="W257" s="88">
        <v>300000</v>
      </c>
      <c r="X257" s="88">
        <f t="shared" si="74"/>
        <v>300000</v>
      </c>
      <c r="Y257" s="88">
        <v>300000</v>
      </c>
      <c r="Z257" s="88">
        <f t="shared" si="75"/>
        <v>300000</v>
      </c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</row>
    <row r="258" spans="1:87" s="3" customFormat="1" ht="61.5" customHeight="1">
      <c r="A258" s="940"/>
      <c r="B258" s="953"/>
      <c r="C258" s="953"/>
      <c r="D258" s="953"/>
      <c r="E258" s="953"/>
      <c r="F258" s="953"/>
      <c r="G258" s="953"/>
      <c r="H258" s="953"/>
      <c r="I258" s="954"/>
      <c r="J258" s="827"/>
      <c r="K258" s="827"/>
      <c r="L258" s="952"/>
      <c r="M258" s="305" t="s">
        <v>603</v>
      </c>
      <c r="N258" s="612"/>
      <c r="O258" s="306">
        <v>1</v>
      </c>
      <c r="P258" s="307">
        <v>36000</v>
      </c>
      <c r="Q258" s="307">
        <v>36000</v>
      </c>
      <c r="R258" s="292"/>
      <c r="S258" s="297">
        <f t="shared" si="78"/>
        <v>36000</v>
      </c>
      <c r="T258" s="308"/>
      <c r="U258" s="88">
        <v>0</v>
      </c>
      <c r="V258" s="107">
        <f t="shared" si="73"/>
        <v>0</v>
      </c>
      <c r="W258" s="88">
        <v>36000</v>
      </c>
      <c r="X258" s="88">
        <f t="shared" si="74"/>
        <v>36000</v>
      </c>
      <c r="Y258" s="88">
        <v>36000</v>
      </c>
      <c r="Z258" s="88">
        <f t="shared" si="75"/>
        <v>36000</v>
      </c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</row>
    <row r="259" spans="1:87" s="3" customFormat="1" ht="41.25" customHeight="1">
      <c r="A259" s="940"/>
      <c r="B259" s="953"/>
      <c r="C259" s="953"/>
      <c r="D259" s="953"/>
      <c r="E259" s="953"/>
      <c r="F259" s="953"/>
      <c r="G259" s="953"/>
      <c r="H259" s="953"/>
      <c r="I259" s="954"/>
      <c r="J259" s="827"/>
      <c r="K259" s="827"/>
      <c r="L259" s="952"/>
      <c r="M259" s="305" t="s">
        <v>604</v>
      </c>
      <c r="N259" s="612"/>
      <c r="O259" s="306">
        <v>3</v>
      </c>
      <c r="P259" s="307">
        <v>5200</v>
      </c>
      <c r="Q259" s="307">
        <v>15600</v>
      </c>
      <c r="R259" s="292"/>
      <c r="S259" s="297">
        <f t="shared" si="78"/>
        <v>15600</v>
      </c>
      <c r="T259" s="308"/>
      <c r="U259" s="88">
        <v>0</v>
      </c>
      <c r="V259" s="107">
        <f t="shared" si="73"/>
        <v>0</v>
      </c>
      <c r="W259" s="88">
        <v>15600</v>
      </c>
      <c r="X259" s="88">
        <f t="shared" si="74"/>
        <v>15600</v>
      </c>
      <c r="Y259" s="88">
        <v>15600</v>
      </c>
      <c r="Z259" s="88">
        <f t="shared" si="75"/>
        <v>15600</v>
      </c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</row>
    <row r="260" spans="1:87" s="3" customFormat="1" ht="35.25" customHeight="1">
      <c r="A260" s="940"/>
      <c r="B260" s="953"/>
      <c r="C260" s="953"/>
      <c r="D260" s="953"/>
      <c r="E260" s="953"/>
      <c r="F260" s="953"/>
      <c r="G260" s="953"/>
      <c r="H260" s="953"/>
      <c r="I260" s="954"/>
      <c r="J260" s="827"/>
      <c r="K260" s="827"/>
      <c r="L260" s="952"/>
      <c r="M260" s="305" t="s">
        <v>589</v>
      </c>
      <c r="N260" s="612"/>
      <c r="O260" s="306">
        <v>2</v>
      </c>
      <c r="P260" s="307">
        <v>49000</v>
      </c>
      <c r="Q260" s="307">
        <v>98000</v>
      </c>
      <c r="R260" s="292"/>
      <c r="S260" s="297">
        <f t="shared" si="78"/>
        <v>98000</v>
      </c>
      <c r="T260" s="308"/>
      <c r="U260" s="88">
        <v>0</v>
      </c>
      <c r="V260" s="107">
        <f t="shared" si="73"/>
        <v>0</v>
      </c>
      <c r="W260" s="88">
        <v>98000</v>
      </c>
      <c r="X260" s="88">
        <f t="shared" si="74"/>
        <v>98000</v>
      </c>
      <c r="Y260" s="88">
        <v>98000</v>
      </c>
      <c r="Z260" s="88">
        <f t="shared" si="75"/>
        <v>98000</v>
      </c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</row>
    <row r="261" spans="1:87" s="3" customFormat="1" ht="84" customHeight="1">
      <c r="A261" s="940"/>
      <c r="B261" s="953"/>
      <c r="C261" s="953"/>
      <c r="D261" s="953"/>
      <c r="E261" s="953"/>
      <c r="F261" s="953"/>
      <c r="G261" s="953"/>
      <c r="H261" s="953"/>
      <c r="I261" s="954"/>
      <c r="J261" s="827"/>
      <c r="K261" s="827"/>
      <c r="L261" s="952"/>
      <c r="M261" s="305" t="s">
        <v>605</v>
      </c>
      <c r="N261" s="612"/>
      <c r="O261" s="306">
        <v>1</v>
      </c>
      <c r="P261" s="307">
        <v>62000</v>
      </c>
      <c r="Q261" s="307">
        <v>62000</v>
      </c>
      <c r="R261" s="292"/>
      <c r="S261" s="297">
        <f t="shared" si="78"/>
        <v>62000</v>
      </c>
      <c r="T261" s="308"/>
      <c r="U261" s="88">
        <v>0</v>
      </c>
      <c r="V261" s="107">
        <f t="shared" si="73"/>
        <v>0</v>
      </c>
      <c r="W261" s="88">
        <v>62000</v>
      </c>
      <c r="X261" s="88">
        <f t="shared" si="74"/>
        <v>62000</v>
      </c>
      <c r="Y261" s="88">
        <v>62000</v>
      </c>
      <c r="Z261" s="88">
        <f t="shared" si="75"/>
        <v>62000</v>
      </c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</row>
    <row r="262" spans="1:87" s="3" customFormat="1" ht="96" customHeight="1">
      <c r="A262" s="940"/>
      <c r="B262" s="953"/>
      <c r="C262" s="953"/>
      <c r="D262" s="953"/>
      <c r="E262" s="953"/>
      <c r="F262" s="953"/>
      <c r="G262" s="953"/>
      <c r="H262" s="953"/>
      <c r="I262" s="954"/>
      <c r="J262" s="827"/>
      <c r="K262" s="827"/>
      <c r="L262" s="952"/>
      <c r="M262" s="305" t="s">
        <v>606</v>
      </c>
      <c r="N262" s="612"/>
      <c r="O262" s="306">
        <v>2</v>
      </c>
      <c r="P262" s="307">
        <v>60000</v>
      </c>
      <c r="Q262" s="307">
        <v>120000</v>
      </c>
      <c r="R262" s="292"/>
      <c r="S262" s="297">
        <f t="shared" si="78"/>
        <v>120000</v>
      </c>
      <c r="T262" s="308"/>
      <c r="U262" s="88">
        <v>0</v>
      </c>
      <c r="V262" s="107">
        <f t="shared" si="73"/>
        <v>0</v>
      </c>
      <c r="W262" s="88">
        <v>120000</v>
      </c>
      <c r="X262" s="88">
        <f t="shared" si="74"/>
        <v>120000</v>
      </c>
      <c r="Y262" s="88">
        <v>120000</v>
      </c>
      <c r="Z262" s="88">
        <f t="shared" si="75"/>
        <v>120000</v>
      </c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</row>
    <row r="263" spans="1:87" s="3" customFormat="1" ht="51" customHeight="1">
      <c r="A263" s="940" t="s">
        <v>224</v>
      </c>
      <c r="B263" s="948"/>
      <c r="C263" s="827"/>
      <c r="D263" s="827"/>
      <c r="E263" s="827"/>
      <c r="F263" s="827"/>
      <c r="G263" s="827"/>
      <c r="H263" s="827"/>
      <c r="I263" s="949" t="s">
        <v>637</v>
      </c>
      <c r="J263" s="950">
        <v>850000</v>
      </c>
      <c r="K263" s="951">
        <v>533700</v>
      </c>
      <c r="L263" s="952" t="s">
        <v>17</v>
      </c>
      <c r="M263" s="309" t="s">
        <v>330</v>
      </c>
      <c r="N263" s="616"/>
      <c r="O263" s="310">
        <v>55</v>
      </c>
      <c r="P263" s="311">
        <v>46045.83</v>
      </c>
      <c r="Q263" s="312" t="e">
        <f>Q264+#REF!+Q265+#REF!+Q266</f>
        <v>#REF!</v>
      </c>
      <c r="R263" s="289" t="e">
        <f>R264+#REF!+R265+#REF!+R266</f>
        <v>#REF!</v>
      </c>
      <c r="S263" s="289" t="e">
        <f>S264+#REF!+S265+#REF!+S266</f>
        <v>#REF!</v>
      </c>
      <c r="T263" s="289" t="e">
        <f>T264+#REF!+T265+#REF!+T266</f>
        <v>#REF!</v>
      </c>
      <c r="U263" s="108">
        <f aca="true" t="shared" si="79" ref="U263:Z263">U264+U265+U266</f>
        <v>533700</v>
      </c>
      <c r="V263" s="108">
        <f t="shared" si="79"/>
        <v>533700</v>
      </c>
      <c r="W263" s="108">
        <f t="shared" si="79"/>
        <v>266850</v>
      </c>
      <c r="X263" s="108">
        <f t="shared" si="79"/>
        <v>266850</v>
      </c>
      <c r="Y263" s="108">
        <f t="shared" si="79"/>
        <v>266850</v>
      </c>
      <c r="Z263" s="108">
        <f t="shared" si="79"/>
        <v>266850</v>
      </c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</row>
    <row r="264" spans="1:87" s="3" customFormat="1" ht="65.25" customHeight="1">
      <c r="A264" s="847"/>
      <c r="B264" s="827"/>
      <c r="C264" s="827"/>
      <c r="D264" s="827"/>
      <c r="E264" s="827"/>
      <c r="F264" s="827"/>
      <c r="G264" s="827"/>
      <c r="H264" s="827"/>
      <c r="I264" s="858"/>
      <c r="J264" s="858"/>
      <c r="K264" s="827"/>
      <c r="L264" s="827"/>
      <c r="M264" s="248" t="s">
        <v>674</v>
      </c>
      <c r="N264" s="617"/>
      <c r="O264" s="314">
        <v>50</v>
      </c>
      <c r="P264" s="288">
        <v>5800</v>
      </c>
      <c r="Q264" s="312">
        <f>ROUND(O264*P264,0)</f>
        <v>290000</v>
      </c>
      <c r="R264" s="315">
        <v>0</v>
      </c>
      <c r="S264" s="316">
        <v>290000</v>
      </c>
      <c r="T264" s="316"/>
      <c r="U264" s="88">
        <v>290000</v>
      </c>
      <c r="V264" s="88">
        <f>U264</f>
        <v>290000</v>
      </c>
      <c r="W264" s="88">
        <v>266850</v>
      </c>
      <c r="X264" s="88">
        <f>W264</f>
        <v>266850</v>
      </c>
      <c r="Y264" s="88">
        <v>266850</v>
      </c>
      <c r="Z264" s="88">
        <f>Y264</f>
        <v>266850</v>
      </c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</row>
    <row r="265" spans="1:87" s="3" customFormat="1" ht="67.5" customHeight="1">
      <c r="A265" s="847"/>
      <c r="B265" s="827"/>
      <c r="C265" s="827"/>
      <c r="D265" s="827"/>
      <c r="E265" s="827"/>
      <c r="F265" s="827"/>
      <c r="G265" s="827"/>
      <c r="H265" s="827"/>
      <c r="I265" s="858"/>
      <c r="J265" s="858"/>
      <c r="K265" s="827"/>
      <c r="L265" s="827"/>
      <c r="M265" s="248" t="s">
        <v>607</v>
      </c>
      <c r="N265" s="617"/>
      <c r="O265" s="314">
        <v>1</v>
      </c>
      <c r="P265" s="288">
        <v>142000</v>
      </c>
      <c r="Q265" s="312">
        <f>ROUND(O265*P265,0)</f>
        <v>142000</v>
      </c>
      <c r="R265" s="315">
        <v>142000</v>
      </c>
      <c r="S265" s="316"/>
      <c r="T265" s="316"/>
      <c r="U265" s="88">
        <v>142000</v>
      </c>
      <c r="V265" s="88">
        <f>U265</f>
        <v>142000</v>
      </c>
      <c r="W265" s="88">
        <v>0</v>
      </c>
      <c r="X265" s="88">
        <f>W265</f>
        <v>0</v>
      </c>
      <c r="Y265" s="88">
        <v>0</v>
      </c>
      <c r="Z265" s="88">
        <f>Y265</f>
        <v>0</v>
      </c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</row>
    <row r="266" spans="1:87" s="3" customFormat="1" ht="61.5" customHeight="1">
      <c r="A266" s="847"/>
      <c r="B266" s="827"/>
      <c r="C266" s="827"/>
      <c r="D266" s="827"/>
      <c r="E266" s="827"/>
      <c r="F266" s="827"/>
      <c r="G266" s="827"/>
      <c r="H266" s="827"/>
      <c r="I266" s="858"/>
      <c r="J266" s="858"/>
      <c r="K266" s="827"/>
      <c r="L266" s="827"/>
      <c r="M266" s="248" t="s">
        <v>675</v>
      </c>
      <c r="N266" s="617"/>
      <c r="O266" s="317">
        <v>2</v>
      </c>
      <c r="P266" s="298">
        <v>97006.65</v>
      </c>
      <c r="Q266" s="312">
        <f>ROUND(O266*P266,0)</f>
        <v>194013</v>
      </c>
      <c r="R266" s="315">
        <v>0</v>
      </c>
      <c r="S266" s="318">
        <v>0</v>
      </c>
      <c r="T266" s="318">
        <v>194013</v>
      </c>
      <c r="U266" s="88">
        <v>101700</v>
      </c>
      <c r="V266" s="88">
        <f>U266</f>
        <v>101700</v>
      </c>
      <c r="W266" s="88">
        <v>0</v>
      </c>
      <c r="X266" s="88">
        <f>W266</f>
        <v>0</v>
      </c>
      <c r="Y266" s="88">
        <v>0</v>
      </c>
      <c r="Z266" s="88">
        <f>Y266</f>
        <v>0</v>
      </c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</row>
    <row r="267" spans="1:87" s="3" customFormat="1" ht="291" customHeight="1">
      <c r="A267" s="319" t="s">
        <v>77</v>
      </c>
      <c r="B267" s="690" t="s">
        <v>6</v>
      </c>
      <c r="C267" s="690" t="s">
        <v>7</v>
      </c>
      <c r="D267" s="690" t="s">
        <v>78</v>
      </c>
      <c r="E267" s="690" t="s">
        <v>8</v>
      </c>
      <c r="F267" s="690" t="s">
        <v>79</v>
      </c>
      <c r="G267" s="690" t="s">
        <v>485</v>
      </c>
      <c r="H267" s="690" t="s">
        <v>9</v>
      </c>
      <c r="I267" s="226" t="s">
        <v>80</v>
      </c>
      <c r="J267" s="97">
        <f>J268</f>
        <v>14386</v>
      </c>
      <c r="K267" s="246">
        <v>157650</v>
      </c>
      <c r="L267" s="320"/>
      <c r="M267" s="320"/>
      <c r="N267" s="618"/>
      <c r="O267" s="321"/>
      <c r="P267" s="321"/>
      <c r="Q267" s="247">
        <f aca="true" t="shared" si="80" ref="Q267:Z267">Q268</f>
        <v>427000</v>
      </c>
      <c r="R267" s="247">
        <f t="shared" si="80"/>
        <v>427000</v>
      </c>
      <c r="S267" s="247">
        <f t="shared" si="80"/>
        <v>610000</v>
      </c>
      <c r="T267" s="247" t="e">
        <f t="shared" si="80"/>
        <v>#REF!</v>
      </c>
      <c r="U267" s="99">
        <f t="shared" si="80"/>
        <v>210200</v>
      </c>
      <c r="V267" s="99">
        <f t="shared" si="80"/>
        <v>210200</v>
      </c>
      <c r="W267" s="99">
        <f t="shared" si="80"/>
        <v>210200</v>
      </c>
      <c r="X267" s="99">
        <f t="shared" si="80"/>
        <v>210200</v>
      </c>
      <c r="Y267" s="99">
        <f t="shared" si="80"/>
        <v>210200</v>
      </c>
      <c r="Z267" s="99">
        <f t="shared" si="80"/>
        <v>210200</v>
      </c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</row>
    <row r="268" spans="1:87" s="3" customFormat="1" ht="213" customHeight="1">
      <c r="A268" s="245" t="s">
        <v>223</v>
      </c>
      <c r="B268" s="322"/>
      <c r="C268" s="156"/>
      <c r="D268" s="156"/>
      <c r="E268" s="156"/>
      <c r="F268" s="156"/>
      <c r="G268" s="156"/>
      <c r="H268" s="156"/>
      <c r="I268" s="323" t="s">
        <v>689</v>
      </c>
      <c r="J268" s="324">
        <v>14386</v>
      </c>
      <c r="K268" s="325">
        <v>157650</v>
      </c>
      <c r="L268" s="323" t="s">
        <v>19</v>
      </c>
      <c r="M268" s="231" t="s">
        <v>676</v>
      </c>
      <c r="N268" s="619" t="s">
        <v>245</v>
      </c>
      <c r="O268" s="317">
        <f>70</f>
        <v>70</v>
      </c>
      <c r="P268" s="258">
        <v>6100</v>
      </c>
      <c r="Q268" s="258">
        <f>O268*P268</f>
        <v>427000</v>
      </c>
      <c r="R268" s="326">
        <f>70*P268</f>
        <v>427000</v>
      </c>
      <c r="S268" s="327">
        <f>100*P268</f>
        <v>610000</v>
      </c>
      <c r="T268" s="252" t="e">
        <f>#REF!</f>
        <v>#REF!</v>
      </c>
      <c r="U268" s="47">
        <v>210200</v>
      </c>
      <c r="V268" s="47">
        <f>U268</f>
        <v>210200</v>
      </c>
      <c r="W268" s="47">
        <v>210200</v>
      </c>
      <c r="X268" s="47">
        <f>W268</f>
        <v>210200</v>
      </c>
      <c r="Y268" s="47">
        <v>210200</v>
      </c>
      <c r="Z268" s="88">
        <f>Y268</f>
        <v>210200</v>
      </c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</row>
    <row r="269" spans="1:87" s="3" customFormat="1" ht="409.5">
      <c r="A269" s="225" t="s">
        <v>81</v>
      </c>
      <c r="B269" s="690" t="s">
        <v>6</v>
      </c>
      <c r="C269" s="690" t="s">
        <v>7</v>
      </c>
      <c r="D269" s="690" t="s">
        <v>82</v>
      </c>
      <c r="E269" s="690" t="s">
        <v>8</v>
      </c>
      <c r="F269" s="690" t="s">
        <v>83</v>
      </c>
      <c r="G269" s="690" t="s">
        <v>486</v>
      </c>
      <c r="H269" s="690" t="s">
        <v>9</v>
      </c>
      <c r="I269" s="226" t="s">
        <v>84</v>
      </c>
      <c r="J269" s="97" t="e">
        <f>#REF!</f>
        <v>#REF!</v>
      </c>
      <c r="K269" s="99" t="e">
        <f>#REF!</f>
        <v>#REF!</v>
      </c>
      <c r="L269" s="328"/>
      <c r="M269" s="328"/>
      <c r="N269" s="618"/>
      <c r="O269" s="321"/>
      <c r="P269" s="321"/>
      <c r="Q269" s="246" t="e">
        <f>#REF!</f>
        <v>#REF!</v>
      </c>
      <c r="R269" s="247" t="e">
        <f>#REF!</f>
        <v>#REF!</v>
      </c>
      <c r="S269" s="247" t="e">
        <f>#REF!</f>
        <v>#REF!</v>
      </c>
      <c r="T269" s="247" t="e">
        <f>#REF!</f>
        <v>#REF!</v>
      </c>
      <c r="U269" s="99">
        <f aca="true" t="shared" si="81" ref="U269:Z269">SUM(U270:U275)</f>
        <v>250000</v>
      </c>
      <c r="V269" s="99">
        <f t="shared" si="81"/>
        <v>250000</v>
      </c>
      <c r="W269" s="99">
        <f t="shared" si="81"/>
        <v>125000</v>
      </c>
      <c r="X269" s="99">
        <f t="shared" si="81"/>
        <v>125000</v>
      </c>
      <c r="Y269" s="99">
        <f t="shared" si="81"/>
        <v>125000</v>
      </c>
      <c r="Z269" s="99">
        <f t="shared" si="81"/>
        <v>125000</v>
      </c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</row>
    <row r="270" spans="1:87" s="3" customFormat="1" ht="78" customHeight="1">
      <c r="A270" s="940" t="s">
        <v>391</v>
      </c>
      <c r="B270" s="946"/>
      <c r="C270" s="848"/>
      <c r="D270" s="848"/>
      <c r="E270" s="848"/>
      <c r="F270" s="848"/>
      <c r="G270" s="848"/>
      <c r="H270" s="848"/>
      <c r="I270" s="940" t="s">
        <v>688</v>
      </c>
      <c r="J270" s="947"/>
      <c r="K270" s="947"/>
      <c r="L270" s="942"/>
      <c r="M270" s="329" t="s">
        <v>285</v>
      </c>
      <c r="N270" s="620" t="s">
        <v>245</v>
      </c>
      <c r="O270" s="317">
        <v>1</v>
      </c>
      <c r="P270" s="317">
        <v>80000</v>
      </c>
      <c r="Q270" s="330"/>
      <c r="R270" s="331"/>
      <c r="S270" s="332">
        <f>P270*O270</f>
        <v>80000</v>
      </c>
      <c r="T270" s="333"/>
      <c r="U270" s="47">
        <v>0</v>
      </c>
      <c r="V270" s="47">
        <f aca="true" t="shared" si="82" ref="V270:V275">U270</f>
        <v>0</v>
      </c>
      <c r="W270" s="47">
        <v>80000</v>
      </c>
      <c r="X270" s="47">
        <f aca="true" t="shared" si="83" ref="X270:X275">W270</f>
        <v>80000</v>
      </c>
      <c r="Y270" s="47">
        <v>0</v>
      </c>
      <c r="Z270" s="88">
        <f aca="true" t="shared" si="84" ref="Z270:Z275">Y270</f>
        <v>0</v>
      </c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</row>
    <row r="271" spans="1:87" s="3" customFormat="1" ht="42" customHeight="1">
      <c r="A271" s="940"/>
      <c r="B271" s="946"/>
      <c r="C271" s="848"/>
      <c r="D271" s="848"/>
      <c r="E271" s="848"/>
      <c r="F271" s="848"/>
      <c r="G271" s="848"/>
      <c r="H271" s="848"/>
      <c r="I271" s="940"/>
      <c r="J271" s="947"/>
      <c r="K271" s="947"/>
      <c r="L271" s="942"/>
      <c r="M271" s="329" t="s">
        <v>286</v>
      </c>
      <c r="N271" s="620" t="s">
        <v>245</v>
      </c>
      <c r="O271" s="317">
        <v>1</v>
      </c>
      <c r="P271" s="317">
        <v>250000</v>
      </c>
      <c r="Q271" s="330"/>
      <c r="R271" s="331"/>
      <c r="S271" s="332">
        <f>P271*O271</f>
        <v>250000</v>
      </c>
      <c r="T271" s="333"/>
      <c r="U271" s="47">
        <v>0</v>
      </c>
      <c r="V271" s="47">
        <f t="shared" si="82"/>
        <v>0</v>
      </c>
      <c r="W271" s="47">
        <v>0</v>
      </c>
      <c r="X271" s="47">
        <f t="shared" si="83"/>
        <v>0</v>
      </c>
      <c r="Y271" s="47">
        <v>0</v>
      </c>
      <c r="Z271" s="88">
        <f t="shared" si="84"/>
        <v>0</v>
      </c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</row>
    <row r="272" spans="1:87" s="3" customFormat="1" ht="45" customHeight="1">
      <c r="A272" s="940"/>
      <c r="B272" s="946"/>
      <c r="C272" s="848"/>
      <c r="D272" s="848"/>
      <c r="E272" s="848"/>
      <c r="F272" s="848"/>
      <c r="G272" s="848"/>
      <c r="H272" s="848"/>
      <c r="I272" s="940"/>
      <c r="J272" s="947"/>
      <c r="K272" s="947"/>
      <c r="L272" s="942"/>
      <c r="M272" s="329" t="s">
        <v>287</v>
      </c>
      <c r="N272" s="620" t="s">
        <v>245</v>
      </c>
      <c r="O272" s="317">
        <v>1</v>
      </c>
      <c r="P272" s="317">
        <v>30000</v>
      </c>
      <c r="Q272" s="330"/>
      <c r="R272" s="331"/>
      <c r="S272" s="332">
        <f>P272*O272</f>
        <v>30000</v>
      </c>
      <c r="T272" s="333"/>
      <c r="U272" s="47">
        <v>0</v>
      </c>
      <c r="V272" s="47">
        <f t="shared" si="82"/>
        <v>0</v>
      </c>
      <c r="W272" s="47">
        <v>0</v>
      </c>
      <c r="X272" s="47">
        <f t="shared" si="83"/>
        <v>0</v>
      </c>
      <c r="Y272" s="47">
        <v>30000</v>
      </c>
      <c r="Z272" s="88">
        <f t="shared" si="84"/>
        <v>30000</v>
      </c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</row>
    <row r="273" spans="1:87" s="3" customFormat="1" ht="354.75" customHeight="1">
      <c r="A273" s="940"/>
      <c r="B273" s="946"/>
      <c r="C273" s="848"/>
      <c r="D273" s="848"/>
      <c r="E273" s="848"/>
      <c r="F273" s="848"/>
      <c r="G273" s="848"/>
      <c r="H273" s="848"/>
      <c r="I273" s="940"/>
      <c r="J273" s="947"/>
      <c r="K273" s="947"/>
      <c r="L273" s="942"/>
      <c r="M273" s="329" t="s">
        <v>288</v>
      </c>
      <c r="N273" s="620" t="s">
        <v>245</v>
      </c>
      <c r="O273" s="317">
        <v>1</v>
      </c>
      <c r="P273" s="317">
        <v>250000</v>
      </c>
      <c r="Q273" s="317"/>
      <c r="R273" s="331"/>
      <c r="S273" s="333"/>
      <c r="T273" s="333">
        <v>250000</v>
      </c>
      <c r="U273" s="47">
        <v>250000</v>
      </c>
      <c r="V273" s="47">
        <f t="shared" si="82"/>
        <v>250000</v>
      </c>
      <c r="W273" s="47">
        <v>0</v>
      </c>
      <c r="X273" s="47">
        <f t="shared" si="83"/>
        <v>0</v>
      </c>
      <c r="Y273" s="47">
        <v>0</v>
      </c>
      <c r="Z273" s="88">
        <f t="shared" si="84"/>
        <v>0</v>
      </c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</row>
    <row r="274" spans="1:87" s="3" customFormat="1" ht="40.5">
      <c r="A274" s="940"/>
      <c r="B274" s="946"/>
      <c r="C274" s="848"/>
      <c r="D274" s="848"/>
      <c r="E274" s="848"/>
      <c r="F274" s="848"/>
      <c r="G274" s="848"/>
      <c r="H274" s="848"/>
      <c r="I274" s="940"/>
      <c r="J274" s="947"/>
      <c r="K274" s="947"/>
      <c r="L274" s="942"/>
      <c r="M274" s="329" t="s">
        <v>289</v>
      </c>
      <c r="N274" s="620" t="s">
        <v>245</v>
      </c>
      <c r="O274" s="317">
        <v>1</v>
      </c>
      <c r="P274" s="317">
        <v>35000</v>
      </c>
      <c r="Q274" s="317"/>
      <c r="R274" s="331"/>
      <c r="S274" s="333"/>
      <c r="T274" s="333">
        <v>35000</v>
      </c>
      <c r="U274" s="47">
        <v>0</v>
      </c>
      <c r="V274" s="47">
        <f t="shared" si="82"/>
        <v>0</v>
      </c>
      <c r="W274" s="47">
        <v>45000</v>
      </c>
      <c r="X274" s="47">
        <f t="shared" si="83"/>
        <v>45000</v>
      </c>
      <c r="Y274" s="47">
        <v>65000</v>
      </c>
      <c r="Z274" s="88">
        <f t="shared" si="84"/>
        <v>65000</v>
      </c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</row>
    <row r="275" spans="1:87" s="3" customFormat="1" ht="60.75">
      <c r="A275" s="940"/>
      <c r="B275" s="946"/>
      <c r="C275" s="848"/>
      <c r="D275" s="848"/>
      <c r="E275" s="848"/>
      <c r="F275" s="848"/>
      <c r="G275" s="848"/>
      <c r="H275" s="848"/>
      <c r="I275" s="940"/>
      <c r="J275" s="947"/>
      <c r="K275" s="947"/>
      <c r="L275" s="942"/>
      <c r="M275" s="329" t="s">
        <v>290</v>
      </c>
      <c r="N275" s="620" t="s">
        <v>245</v>
      </c>
      <c r="O275" s="317">
        <v>1</v>
      </c>
      <c r="P275" s="317">
        <v>30000</v>
      </c>
      <c r="Q275" s="317"/>
      <c r="R275" s="331"/>
      <c r="S275" s="333"/>
      <c r="T275" s="333">
        <v>30000</v>
      </c>
      <c r="U275" s="47">
        <v>0</v>
      </c>
      <c r="V275" s="47">
        <f t="shared" si="82"/>
        <v>0</v>
      </c>
      <c r="W275" s="47">
        <v>0</v>
      </c>
      <c r="X275" s="47">
        <f t="shared" si="83"/>
        <v>0</v>
      </c>
      <c r="Y275" s="47">
        <v>30000</v>
      </c>
      <c r="Z275" s="88">
        <f t="shared" si="84"/>
        <v>30000</v>
      </c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</row>
    <row r="276" spans="1:87" s="3" customFormat="1" ht="409.5">
      <c r="A276" s="225" t="s">
        <v>86</v>
      </c>
      <c r="B276" s="689" t="s">
        <v>6</v>
      </c>
      <c r="C276" s="689" t="s">
        <v>87</v>
      </c>
      <c r="D276" s="689" t="s">
        <v>88</v>
      </c>
      <c r="E276" s="689" t="s">
        <v>89</v>
      </c>
      <c r="F276" s="689" t="s">
        <v>90</v>
      </c>
      <c r="G276" s="689" t="s">
        <v>487</v>
      </c>
      <c r="H276" s="689" t="s">
        <v>9</v>
      </c>
      <c r="I276" s="226" t="s">
        <v>91</v>
      </c>
      <c r="J276" s="334">
        <v>654100</v>
      </c>
      <c r="K276" s="335">
        <v>1806099.75</v>
      </c>
      <c r="L276" s="320"/>
      <c r="M276" s="320"/>
      <c r="N276" s="618"/>
      <c r="O276" s="321"/>
      <c r="P276" s="321"/>
      <c r="Q276" s="321">
        <f aca="true" t="shared" si="85" ref="Q276:Z276">Q277</f>
        <v>2577255</v>
      </c>
      <c r="R276" s="336">
        <f t="shared" si="85"/>
        <v>2577255</v>
      </c>
      <c r="S276" s="336">
        <f t="shared" si="85"/>
        <v>2577255</v>
      </c>
      <c r="T276" s="336">
        <f t="shared" si="85"/>
        <v>2577255</v>
      </c>
      <c r="U276" s="99">
        <f t="shared" si="85"/>
        <v>2577255</v>
      </c>
      <c r="V276" s="99">
        <f t="shared" si="85"/>
        <v>2577255</v>
      </c>
      <c r="W276" s="99">
        <f t="shared" si="85"/>
        <v>2408133</v>
      </c>
      <c r="X276" s="99">
        <f t="shared" si="85"/>
        <v>2408133</v>
      </c>
      <c r="Y276" s="99">
        <f t="shared" si="85"/>
        <v>2408133</v>
      </c>
      <c r="Z276" s="99">
        <f t="shared" si="85"/>
        <v>2408133</v>
      </c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</row>
    <row r="277" spans="1:87" s="3" customFormat="1" ht="122.25" customHeight="1">
      <c r="A277" s="940" t="s">
        <v>92</v>
      </c>
      <c r="B277" s="941"/>
      <c r="C277" s="941"/>
      <c r="D277" s="941"/>
      <c r="E277" s="941"/>
      <c r="F277" s="941"/>
      <c r="G277" s="941"/>
      <c r="H277" s="941"/>
      <c r="I277" s="231" t="s">
        <v>93</v>
      </c>
      <c r="J277" s="98">
        <v>654100</v>
      </c>
      <c r="K277" s="100">
        <v>1806099.75</v>
      </c>
      <c r="L277" s="241"/>
      <c r="M277" s="241"/>
      <c r="N277" s="621"/>
      <c r="O277" s="251">
        <f>O279+O278</f>
        <v>2700</v>
      </c>
      <c r="P277" s="251">
        <f>P279+P278</f>
        <v>2260.75</v>
      </c>
      <c r="Q277" s="251">
        <v>2577255</v>
      </c>
      <c r="R277" s="252">
        <v>2577255</v>
      </c>
      <c r="S277" s="252">
        <v>2577255</v>
      </c>
      <c r="T277" s="252">
        <v>2577255</v>
      </c>
      <c r="U277" s="47">
        <f>U278+U279</f>
        <v>2577255</v>
      </c>
      <c r="V277" s="47">
        <f>U277</f>
        <v>2577255</v>
      </c>
      <c r="W277" s="47">
        <f>W278+W279</f>
        <v>2408133</v>
      </c>
      <c r="X277" s="47">
        <f>W277</f>
        <v>2408133</v>
      </c>
      <c r="Y277" s="47">
        <f>Y278+Y279</f>
        <v>2408133</v>
      </c>
      <c r="Z277" s="88">
        <f>Y277</f>
        <v>2408133</v>
      </c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</row>
    <row r="278" spans="1:87" s="3" customFormat="1" ht="252" customHeight="1">
      <c r="A278" s="856"/>
      <c r="B278" s="941"/>
      <c r="C278" s="941"/>
      <c r="D278" s="941"/>
      <c r="E278" s="941"/>
      <c r="F278" s="941"/>
      <c r="G278" s="941"/>
      <c r="H278" s="941"/>
      <c r="I278" s="231" t="s">
        <v>94</v>
      </c>
      <c r="J278" s="109"/>
      <c r="K278" s="109">
        <v>218319.75</v>
      </c>
      <c r="L278" s="942" t="s">
        <v>95</v>
      </c>
      <c r="M278" s="154" t="s">
        <v>250</v>
      </c>
      <c r="N278" s="943" t="s">
        <v>251</v>
      </c>
      <c r="O278" s="239">
        <v>300</v>
      </c>
      <c r="P278" s="109">
        <v>1356.45</v>
      </c>
      <c r="Q278" s="109">
        <v>406935</v>
      </c>
      <c r="R278" s="337">
        <v>406935</v>
      </c>
      <c r="S278" s="338">
        <v>406935</v>
      </c>
      <c r="T278" s="338">
        <v>406935</v>
      </c>
      <c r="U278" s="109">
        <v>1144714.3</v>
      </c>
      <c r="V278" s="47">
        <f>U278</f>
        <v>1144714.3</v>
      </c>
      <c r="W278" s="47">
        <v>406935</v>
      </c>
      <c r="X278" s="47">
        <f>W278</f>
        <v>406935</v>
      </c>
      <c r="Y278" s="47">
        <v>406935</v>
      </c>
      <c r="Z278" s="88">
        <f>Y278</f>
        <v>406935</v>
      </c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</row>
    <row r="279" spans="1:87" s="3" customFormat="1" ht="246" customHeight="1">
      <c r="A279" s="856"/>
      <c r="B279" s="944"/>
      <c r="C279" s="856"/>
      <c r="D279" s="856"/>
      <c r="E279" s="856"/>
      <c r="F279" s="856"/>
      <c r="G279" s="856"/>
      <c r="H279" s="856"/>
      <c r="I279" s="231" t="s">
        <v>677</v>
      </c>
      <c r="J279" s="109"/>
      <c r="K279" s="109">
        <v>1587780</v>
      </c>
      <c r="L279" s="848"/>
      <c r="M279" s="154" t="s">
        <v>252</v>
      </c>
      <c r="N279" s="943"/>
      <c r="O279" s="239">
        <v>2400</v>
      </c>
      <c r="P279" s="109">
        <v>904.3</v>
      </c>
      <c r="Q279" s="109">
        <v>2170320</v>
      </c>
      <c r="R279" s="337">
        <v>2170320</v>
      </c>
      <c r="S279" s="338">
        <v>2170320</v>
      </c>
      <c r="T279" s="338">
        <v>2170320</v>
      </c>
      <c r="U279" s="109">
        <v>1432540.7</v>
      </c>
      <c r="V279" s="47">
        <f>U279</f>
        <v>1432540.7</v>
      </c>
      <c r="W279" s="47">
        <v>2001198</v>
      </c>
      <c r="X279" s="47">
        <f>W279</f>
        <v>2001198</v>
      </c>
      <c r="Y279" s="47">
        <v>2001198</v>
      </c>
      <c r="Z279" s="88">
        <f>Y279</f>
        <v>2001198</v>
      </c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</row>
    <row r="280" spans="1:87" s="3" customFormat="1" ht="407.25" customHeight="1">
      <c r="A280" s="319" t="s">
        <v>96</v>
      </c>
      <c r="B280" s="689" t="s">
        <v>6</v>
      </c>
      <c r="C280" s="689" t="s">
        <v>87</v>
      </c>
      <c r="D280" s="689" t="s">
        <v>88</v>
      </c>
      <c r="E280" s="689" t="s">
        <v>89</v>
      </c>
      <c r="F280" s="689" t="s">
        <v>97</v>
      </c>
      <c r="G280" s="689" t="s">
        <v>488</v>
      </c>
      <c r="H280" s="689" t="s">
        <v>9</v>
      </c>
      <c r="I280" s="226" t="s">
        <v>98</v>
      </c>
      <c r="J280" s="339">
        <f>J281</f>
        <v>1470000</v>
      </c>
      <c r="K280" s="339">
        <f aca="true" t="shared" si="86" ref="K280:Z280">K281</f>
        <v>2793651.75</v>
      </c>
      <c r="L280" s="339"/>
      <c r="M280" s="339"/>
      <c r="N280" s="601"/>
      <c r="O280" s="339"/>
      <c r="P280" s="339"/>
      <c r="Q280" s="339">
        <f t="shared" si="86"/>
        <v>3935764</v>
      </c>
      <c r="R280" s="340">
        <f t="shared" si="86"/>
        <v>3935764</v>
      </c>
      <c r="S280" s="341">
        <f t="shared" si="86"/>
        <v>3935764</v>
      </c>
      <c r="T280" s="341">
        <f t="shared" si="86"/>
        <v>3935764</v>
      </c>
      <c r="U280" s="97">
        <f t="shared" si="86"/>
        <v>3935764</v>
      </c>
      <c r="V280" s="97">
        <f t="shared" si="86"/>
        <v>3935764</v>
      </c>
      <c r="W280" s="97">
        <f t="shared" si="86"/>
        <v>3724869</v>
      </c>
      <c r="X280" s="97">
        <f t="shared" si="86"/>
        <v>3724869</v>
      </c>
      <c r="Y280" s="97">
        <f t="shared" si="86"/>
        <v>3724869</v>
      </c>
      <c r="Z280" s="97">
        <f t="shared" si="86"/>
        <v>3724869</v>
      </c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</row>
    <row r="281" spans="1:87" s="3" customFormat="1" ht="125.25" customHeight="1">
      <c r="A281" s="940" t="s">
        <v>92</v>
      </c>
      <c r="B281" s="941"/>
      <c r="C281" s="848"/>
      <c r="D281" s="848"/>
      <c r="E281" s="848"/>
      <c r="F281" s="848"/>
      <c r="G281" s="848"/>
      <c r="H281" s="848"/>
      <c r="I281" s="231" t="s">
        <v>99</v>
      </c>
      <c r="J281" s="100">
        <v>1470000</v>
      </c>
      <c r="K281" s="100">
        <v>2793651.75</v>
      </c>
      <c r="L281" s="945" t="s">
        <v>101</v>
      </c>
      <c r="M281" s="232"/>
      <c r="N281" s="621"/>
      <c r="O281" s="342">
        <v>6420</v>
      </c>
      <c r="P281" s="342">
        <v>5622.52</v>
      </c>
      <c r="Q281" s="342">
        <v>3935764</v>
      </c>
      <c r="R281" s="331">
        <v>3935764</v>
      </c>
      <c r="S281" s="331">
        <v>3935764</v>
      </c>
      <c r="T281" s="331">
        <v>3935764</v>
      </c>
      <c r="U281" s="89">
        <f aca="true" t="shared" si="87" ref="U281:Z281">U282+U283+U284</f>
        <v>3935764</v>
      </c>
      <c r="V281" s="89">
        <f t="shared" si="87"/>
        <v>3935764</v>
      </c>
      <c r="W281" s="89">
        <f t="shared" si="87"/>
        <v>3724869</v>
      </c>
      <c r="X281" s="89">
        <f t="shared" si="87"/>
        <v>3724869</v>
      </c>
      <c r="Y281" s="89">
        <f t="shared" si="87"/>
        <v>3724869</v>
      </c>
      <c r="Z281" s="89">
        <f t="shared" si="87"/>
        <v>3724869</v>
      </c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</row>
    <row r="282" spans="1:87" s="3" customFormat="1" ht="257.25" customHeight="1">
      <c r="A282" s="847"/>
      <c r="B282" s="848"/>
      <c r="C282" s="848"/>
      <c r="D282" s="848"/>
      <c r="E282" s="848"/>
      <c r="F282" s="848"/>
      <c r="G282" s="848"/>
      <c r="H282" s="848"/>
      <c r="I282" s="231" t="s">
        <v>100</v>
      </c>
      <c r="J282" s="109"/>
      <c r="K282" s="109">
        <v>84978</v>
      </c>
      <c r="L282" s="848"/>
      <c r="M282" s="343" t="s">
        <v>521</v>
      </c>
      <c r="N282" s="943" t="s">
        <v>251</v>
      </c>
      <c r="O282" s="239">
        <v>500</v>
      </c>
      <c r="P282" s="109">
        <v>775.52</v>
      </c>
      <c r="Q282" s="109">
        <v>387760</v>
      </c>
      <c r="R282" s="337">
        <v>387760</v>
      </c>
      <c r="S282" s="338">
        <v>387760</v>
      </c>
      <c r="T282" s="338">
        <v>387760</v>
      </c>
      <c r="U282" s="109">
        <v>371362.45</v>
      </c>
      <c r="V282" s="109">
        <f>U282</f>
        <v>371362.45</v>
      </c>
      <c r="W282" s="47">
        <v>366976</v>
      </c>
      <c r="X282" s="47">
        <f>W282</f>
        <v>366976</v>
      </c>
      <c r="Y282" s="47">
        <v>366976</v>
      </c>
      <c r="Z282" s="88">
        <f>Y282</f>
        <v>366976</v>
      </c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</row>
    <row r="283" spans="1:87" s="3" customFormat="1" ht="229.5" customHeight="1">
      <c r="A283" s="847"/>
      <c r="B283" s="848"/>
      <c r="C283" s="848"/>
      <c r="D283" s="848"/>
      <c r="E283" s="848"/>
      <c r="F283" s="848"/>
      <c r="G283" s="848"/>
      <c r="H283" s="848"/>
      <c r="I283" s="231" t="s">
        <v>102</v>
      </c>
      <c r="J283" s="109"/>
      <c r="K283" s="109">
        <v>626712.75</v>
      </c>
      <c r="L283" s="848"/>
      <c r="M283" s="343" t="s">
        <v>253</v>
      </c>
      <c r="N283" s="943"/>
      <c r="O283" s="239">
        <v>1040</v>
      </c>
      <c r="P283" s="109">
        <v>1454.1</v>
      </c>
      <c r="Q283" s="109">
        <v>1512264</v>
      </c>
      <c r="R283" s="337">
        <v>1512264</v>
      </c>
      <c r="S283" s="338">
        <v>1512264</v>
      </c>
      <c r="T283" s="338">
        <v>1512264</v>
      </c>
      <c r="U283" s="109">
        <v>1587377.2</v>
      </c>
      <c r="V283" s="109">
        <f>U283</f>
        <v>1587377.2</v>
      </c>
      <c r="W283" s="47">
        <v>1431207</v>
      </c>
      <c r="X283" s="47">
        <f>W283</f>
        <v>1431207</v>
      </c>
      <c r="Y283" s="47">
        <v>1431207</v>
      </c>
      <c r="Z283" s="88">
        <f>Y283</f>
        <v>1431207</v>
      </c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</row>
    <row r="284" spans="1:87" s="3" customFormat="1" ht="249.75" customHeight="1">
      <c r="A284" s="847"/>
      <c r="B284" s="848"/>
      <c r="C284" s="848"/>
      <c r="D284" s="848"/>
      <c r="E284" s="848"/>
      <c r="F284" s="848"/>
      <c r="G284" s="848"/>
      <c r="H284" s="848"/>
      <c r="I284" s="231" t="s">
        <v>522</v>
      </c>
      <c r="J284" s="109"/>
      <c r="K284" s="109">
        <v>2081961</v>
      </c>
      <c r="L284" s="848"/>
      <c r="M284" s="343" t="s">
        <v>617</v>
      </c>
      <c r="N284" s="943"/>
      <c r="O284" s="239">
        <v>600</v>
      </c>
      <c r="P284" s="109">
        <v>3392.9</v>
      </c>
      <c r="Q284" s="109">
        <v>2035740</v>
      </c>
      <c r="R284" s="337">
        <v>2035740</v>
      </c>
      <c r="S284" s="338">
        <v>2035740</v>
      </c>
      <c r="T284" s="338">
        <v>2035740</v>
      </c>
      <c r="U284" s="109">
        <v>1977024.35</v>
      </c>
      <c r="V284" s="109">
        <f>U284</f>
        <v>1977024.35</v>
      </c>
      <c r="W284" s="47">
        <v>1926686</v>
      </c>
      <c r="X284" s="47">
        <f>W284</f>
        <v>1926686</v>
      </c>
      <c r="Y284" s="47">
        <v>1926686</v>
      </c>
      <c r="Z284" s="88">
        <f>Y284</f>
        <v>1926686</v>
      </c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</row>
    <row r="285" spans="1:87" s="3" customFormat="1" ht="189.75" customHeight="1">
      <c r="A285" s="378" t="s">
        <v>510</v>
      </c>
      <c r="B285" s="345">
        <v>811</v>
      </c>
      <c r="C285" s="345" t="s">
        <v>489</v>
      </c>
      <c r="D285" s="346" t="s">
        <v>491</v>
      </c>
      <c r="E285" s="345" t="s">
        <v>8</v>
      </c>
      <c r="F285" s="345"/>
      <c r="G285" s="345" t="s">
        <v>490</v>
      </c>
      <c r="H285" s="345" t="s">
        <v>9</v>
      </c>
      <c r="I285" s="216" t="s">
        <v>494</v>
      </c>
      <c r="J285" s="347"/>
      <c r="K285" s="347"/>
      <c r="L285" s="348" t="s">
        <v>17</v>
      </c>
      <c r="M285" s="347"/>
      <c r="N285" s="622"/>
      <c r="O285" s="347"/>
      <c r="P285" s="347"/>
      <c r="Q285" s="347"/>
      <c r="R285" s="221"/>
      <c r="S285" s="347"/>
      <c r="T285" s="347"/>
      <c r="U285" s="94">
        <f aca="true" t="shared" si="88" ref="U285:Z285">U286</f>
        <v>770000</v>
      </c>
      <c r="V285" s="94">
        <f t="shared" si="88"/>
        <v>770000</v>
      </c>
      <c r="W285" s="94">
        <f t="shared" si="88"/>
        <v>0</v>
      </c>
      <c r="X285" s="94">
        <f t="shared" si="88"/>
        <v>0</v>
      </c>
      <c r="Y285" s="94">
        <f t="shared" si="88"/>
        <v>0</v>
      </c>
      <c r="Z285" s="94">
        <f t="shared" si="88"/>
        <v>0</v>
      </c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</row>
    <row r="286" spans="1:87" s="3" customFormat="1" ht="104.25" customHeight="1">
      <c r="A286" s="349" t="s">
        <v>150</v>
      </c>
      <c r="B286" s="349"/>
      <c r="C286" s="349"/>
      <c r="D286" s="349"/>
      <c r="E286" s="349"/>
      <c r="F286" s="349"/>
      <c r="G286" s="350"/>
      <c r="H286" s="349"/>
      <c r="I286" s="351" t="s">
        <v>492</v>
      </c>
      <c r="J286" s="352"/>
      <c r="K286" s="352"/>
      <c r="L286" s="156"/>
      <c r="M286" s="353" t="s">
        <v>493</v>
      </c>
      <c r="N286" s="623"/>
      <c r="O286" s="352"/>
      <c r="P286" s="352"/>
      <c r="Q286" s="352"/>
      <c r="R286" s="354"/>
      <c r="S286" s="352"/>
      <c r="T286" s="352"/>
      <c r="U286" s="110">
        <v>770000</v>
      </c>
      <c r="V286" s="110">
        <f>U286</f>
        <v>770000</v>
      </c>
      <c r="W286" s="110">
        <v>0</v>
      </c>
      <c r="X286" s="110">
        <f>W286</f>
        <v>0</v>
      </c>
      <c r="Y286" s="110">
        <f>X286</f>
        <v>0</v>
      </c>
      <c r="Z286" s="110">
        <f>Y286</f>
        <v>0</v>
      </c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</row>
    <row r="287" spans="1:87" s="3" customFormat="1" ht="357.75" customHeight="1">
      <c r="A287" s="713" t="s">
        <v>708</v>
      </c>
      <c r="B287" s="383">
        <v>811</v>
      </c>
      <c r="C287" s="346" t="s">
        <v>7</v>
      </c>
      <c r="D287" s="383" t="s">
        <v>709</v>
      </c>
      <c r="E287" s="383">
        <v>612</v>
      </c>
      <c r="F287" s="383"/>
      <c r="G287" s="714" t="s">
        <v>710</v>
      </c>
      <c r="H287" s="383">
        <v>1111</v>
      </c>
      <c r="I287" s="226" t="s">
        <v>80</v>
      </c>
      <c r="J287" s="358"/>
      <c r="K287" s="358"/>
      <c r="L287" s="377"/>
      <c r="M287" s="344"/>
      <c r="N287" s="622"/>
      <c r="O287" s="358"/>
      <c r="P287" s="358"/>
      <c r="Q287" s="358"/>
      <c r="R287" s="359"/>
      <c r="S287" s="358"/>
      <c r="T287" s="358"/>
      <c r="U287" s="94">
        <f aca="true" t="shared" si="89" ref="U287:Z287">U288+U289+U290</f>
        <v>3000000</v>
      </c>
      <c r="V287" s="94">
        <f t="shared" si="89"/>
        <v>3000000</v>
      </c>
      <c r="W287" s="94">
        <f t="shared" si="89"/>
        <v>0</v>
      </c>
      <c r="X287" s="94">
        <f t="shared" si="89"/>
        <v>0</v>
      </c>
      <c r="Y287" s="94">
        <f t="shared" si="89"/>
        <v>0</v>
      </c>
      <c r="Z287" s="94">
        <f t="shared" si="89"/>
        <v>0</v>
      </c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</row>
    <row r="288" spans="1:87" s="3" customFormat="1" ht="103.5" customHeight="1">
      <c r="A288" s="927" t="s">
        <v>391</v>
      </c>
      <c r="B288" s="930"/>
      <c r="C288" s="931"/>
      <c r="D288" s="931"/>
      <c r="E288" s="931"/>
      <c r="F288" s="931"/>
      <c r="G288" s="931"/>
      <c r="H288" s="932"/>
      <c r="I288" s="927" t="s">
        <v>711</v>
      </c>
      <c r="J288" s="352"/>
      <c r="K288" s="352"/>
      <c r="L288" s="156"/>
      <c r="M288" s="353" t="s">
        <v>712</v>
      </c>
      <c r="N288" s="623"/>
      <c r="O288" s="352"/>
      <c r="P288" s="352"/>
      <c r="Q288" s="352"/>
      <c r="R288" s="354"/>
      <c r="S288" s="352"/>
      <c r="T288" s="352"/>
      <c r="U288" s="110">
        <v>828462.6</v>
      </c>
      <c r="V288" s="110">
        <f>U288</f>
        <v>828462.6</v>
      </c>
      <c r="W288" s="110">
        <v>0</v>
      </c>
      <c r="X288" s="110">
        <v>0</v>
      </c>
      <c r="Y288" s="110">
        <v>0</v>
      </c>
      <c r="Z288" s="110">
        <v>0</v>
      </c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</row>
    <row r="289" spans="1:87" s="3" customFormat="1" ht="42" customHeight="1">
      <c r="A289" s="928"/>
      <c r="B289" s="933"/>
      <c r="C289" s="934"/>
      <c r="D289" s="934"/>
      <c r="E289" s="934"/>
      <c r="F289" s="934"/>
      <c r="G289" s="934"/>
      <c r="H289" s="935"/>
      <c r="I289" s="928"/>
      <c r="J289" s="352"/>
      <c r="K289" s="352"/>
      <c r="L289" s="156"/>
      <c r="M289" s="353" t="s">
        <v>713</v>
      </c>
      <c r="N289" s="623"/>
      <c r="O289" s="352"/>
      <c r="P289" s="352"/>
      <c r="Q289" s="352"/>
      <c r="R289" s="354"/>
      <c r="S289" s="352"/>
      <c r="T289" s="352"/>
      <c r="U289" s="110">
        <v>1737537.4</v>
      </c>
      <c r="V289" s="110">
        <f>U289</f>
        <v>1737537.4</v>
      </c>
      <c r="W289" s="110">
        <v>0</v>
      </c>
      <c r="X289" s="110">
        <v>0</v>
      </c>
      <c r="Y289" s="110">
        <v>0</v>
      </c>
      <c r="Z289" s="110">
        <v>0</v>
      </c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</row>
    <row r="290" spans="1:87" s="3" customFormat="1" ht="64.5" customHeight="1">
      <c r="A290" s="929"/>
      <c r="B290" s="936"/>
      <c r="C290" s="937"/>
      <c r="D290" s="937"/>
      <c r="E290" s="937"/>
      <c r="F290" s="937"/>
      <c r="G290" s="937"/>
      <c r="H290" s="938"/>
      <c r="I290" s="929"/>
      <c r="J290" s="352"/>
      <c r="K290" s="352"/>
      <c r="L290" s="156"/>
      <c r="M290" s="353" t="s">
        <v>714</v>
      </c>
      <c r="N290" s="623"/>
      <c r="O290" s="352"/>
      <c r="P290" s="352"/>
      <c r="Q290" s="352"/>
      <c r="R290" s="354"/>
      <c r="S290" s="352"/>
      <c r="T290" s="352"/>
      <c r="U290" s="110">
        <v>434000</v>
      </c>
      <c r="V290" s="110">
        <f>U290</f>
        <v>434000</v>
      </c>
      <c r="W290" s="110">
        <v>0</v>
      </c>
      <c r="X290" s="110">
        <v>0</v>
      </c>
      <c r="Y290" s="110">
        <v>0</v>
      </c>
      <c r="Z290" s="110">
        <v>0</v>
      </c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</row>
    <row r="291" spans="1:87" s="3" customFormat="1" ht="51.75" customHeight="1">
      <c r="A291" s="939" t="s">
        <v>234</v>
      </c>
      <c r="B291" s="939"/>
      <c r="C291" s="939"/>
      <c r="D291" s="939"/>
      <c r="E291" s="939"/>
      <c r="F291" s="939"/>
      <c r="G291" s="939"/>
      <c r="H291" s="939"/>
      <c r="I291" s="939"/>
      <c r="J291" s="939"/>
      <c r="K291" s="939"/>
      <c r="L291" s="939"/>
      <c r="M291" s="939"/>
      <c r="N291" s="939"/>
      <c r="O291" s="355"/>
      <c r="P291" s="355"/>
      <c r="Q291" s="355"/>
      <c r="R291" s="356"/>
      <c r="S291" s="355"/>
      <c r="T291" s="355"/>
      <c r="U291" s="111">
        <f aca="true" t="shared" si="90" ref="U291:Z291">U292+U294+U296+U299</f>
        <v>420368.42000000004</v>
      </c>
      <c r="V291" s="111">
        <f t="shared" si="90"/>
        <v>420368.42000000004</v>
      </c>
      <c r="W291" s="111">
        <f t="shared" si="90"/>
        <v>412505.26</v>
      </c>
      <c r="X291" s="111">
        <f t="shared" si="90"/>
        <v>412505.26</v>
      </c>
      <c r="Y291" s="111">
        <f t="shared" si="90"/>
        <v>412505.26</v>
      </c>
      <c r="Z291" s="111">
        <f t="shared" si="90"/>
        <v>412505.26</v>
      </c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</row>
    <row r="292" spans="1:87" s="3" customFormat="1" ht="234" customHeight="1">
      <c r="A292" s="216" t="s">
        <v>700</v>
      </c>
      <c r="B292" s="346" t="s">
        <v>511</v>
      </c>
      <c r="C292" s="346" t="s">
        <v>7</v>
      </c>
      <c r="D292" s="346" t="s">
        <v>235</v>
      </c>
      <c r="E292" s="346" t="s">
        <v>8</v>
      </c>
      <c r="F292" s="346"/>
      <c r="G292" s="346" t="s">
        <v>507</v>
      </c>
      <c r="H292" s="346" t="s">
        <v>9</v>
      </c>
      <c r="I292" s="216" t="s">
        <v>512</v>
      </c>
      <c r="J292" s="357"/>
      <c r="K292" s="357"/>
      <c r="L292" s="217" t="s">
        <v>11</v>
      </c>
      <c r="M292" s="357"/>
      <c r="N292" s="357"/>
      <c r="O292" s="358"/>
      <c r="P292" s="358"/>
      <c r="Q292" s="358"/>
      <c r="R292" s="359"/>
      <c r="S292" s="358"/>
      <c r="T292" s="358"/>
      <c r="U292" s="94">
        <f aca="true" t="shared" si="91" ref="U292:Z292">U293</f>
        <v>0</v>
      </c>
      <c r="V292" s="94">
        <f t="shared" si="91"/>
        <v>0</v>
      </c>
      <c r="W292" s="94">
        <f t="shared" si="91"/>
        <v>78868.42</v>
      </c>
      <c r="X292" s="94">
        <f t="shared" si="91"/>
        <v>78868.42</v>
      </c>
      <c r="Y292" s="94">
        <f t="shared" si="91"/>
        <v>78868.42</v>
      </c>
      <c r="Z292" s="94">
        <f t="shared" si="91"/>
        <v>78868.42</v>
      </c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</row>
    <row r="293" spans="1:87" s="3" customFormat="1" ht="194.25" customHeight="1">
      <c r="A293" s="72" t="s">
        <v>144</v>
      </c>
      <c r="B293" s="797"/>
      <c r="C293" s="797"/>
      <c r="D293" s="797"/>
      <c r="E293" s="797"/>
      <c r="F293" s="797"/>
      <c r="G293" s="797"/>
      <c r="H293" s="797"/>
      <c r="I293" s="72" t="s">
        <v>690</v>
      </c>
      <c r="J293" s="361"/>
      <c r="K293" s="361"/>
      <c r="L293" s="361"/>
      <c r="M293" s="350" t="s">
        <v>513</v>
      </c>
      <c r="N293" s="361"/>
      <c r="O293" s="362"/>
      <c r="P293" s="362"/>
      <c r="Q293" s="362"/>
      <c r="R293" s="363"/>
      <c r="S293" s="362"/>
      <c r="T293" s="362"/>
      <c r="U293" s="90">
        <v>0</v>
      </c>
      <c r="V293" s="90">
        <v>0</v>
      </c>
      <c r="W293" s="90">
        <v>78868.42</v>
      </c>
      <c r="X293" s="90">
        <f>W293</f>
        <v>78868.42</v>
      </c>
      <c r="Y293" s="90">
        <v>78868.42</v>
      </c>
      <c r="Z293" s="88">
        <f>Y293</f>
        <v>78868.42</v>
      </c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</row>
    <row r="294" spans="1:87" s="3" customFormat="1" ht="251.25" customHeight="1">
      <c r="A294" s="216" t="s">
        <v>700</v>
      </c>
      <c r="B294" s="346" t="s">
        <v>511</v>
      </c>
      <c r="C294" s="346" t="s">
        <v>7</v>
      </c>
      <c r="D294" s="346" t="s">
        <v>235</v>
      </c>
      <c r="E294" s="346" t="s">
        <v>8</v>
      </c>
      <c r="F294" s="346"/>
      <c r="G294" s="346" t="s">
        <v>783</v>
      </c>
      <c r="H294" s="346" t="s">
        <v>9</v>
      </c>
      <c r="I294" s="216" t="s">
        <v>512</v>
      </c>
      <c r="J294" s="357"/>
      <c r="K294" s="357"/>
      <c r="L294" s="217" t="s">
        <v>11</v>
      </c>
      <c r="M294" s="357"/>
      <c r="N294" s="357"/>
      <c r="O294" s="358"/>
      <c r="P294" s="358"/>
      <c r="Q294" s="358"/>
      <c r="R294" s="359"/>
      <c r="S294" s="358"/>
      <c r="T294" s="358"/>
      <c r="U294" s="94">
        <f aca="true" t="shared" si="92" ref="U294:Z294">U295</f>
        <v>79010.53</v>
      </c>
      <c r="V294" s="94">
        <f t="shared" si="92"/>
        <v>79010.53</v>
      </c>
      <c r="W294" s="94">
        <f t="shared" si="92"/>
        <v>0</v>
      </c>
      <c r="X294" s="94">
        <f t="shared" si="92"/>
        <v>0</v>
      </c>
      <c r="Y294" s="94">
        <f t="shared" si="92"/>
        <v>0</v>
      </c>
      <c r="Z294" s="94">
        <f t="shared" si="92"/>
        <v>0</v>
      </c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</row>
    <row r="295" spans="1:87" s="3" customFormat="1" ht="238.5" customHeight="1">
      <c r="A295" s="72" t="s">
        <v>144</v>
      </c>
      <c r="B295" s="797"/>
      <c r="C295" s="797"/>
      <c r="D295" s="797"/>
      <c r="E295" s="797"/>
      <c r="F295" s="797"/>
      <c r="G295" s="797"/>
      <c r="H295" s="797"/>
      <c r="I295" s="72" t="s">
        <v>690</v>
      </c>
      <c r="J295" s="361"/>
      <c r="K295" s="361"/>
      <c r="L295" s="361"/>
      <c r="M295" s="350" t="s">
        <v>513</v>
      </c>
      <c r="N295" s="361"/>
      <c r="O295" s="362"/>
      <c r="P295" s="362"/>
      <c r="Q295" s="362"/>
      <c r="R295" s="363"/>
      <c r="S295" s="362"/>
      <c r="T295" s="362"/>
      <c r="U295" s="90">
        <v>79010.53</v>
      </c>
      <c r="V295" s="90">
        <f>U295</f>
        <v>79010.53</v>
      </c>
      <c r="W295" s="90">
        <v>0</v>
      </c>
      <c r="X295" s="90">
        <f>W295</f>
        <v>0</v>
      </c>
      <c r="Y295" s="90">
        <v>0</v>
      </c>
      <c r="Z295" s="88">
        <v>0</v>
      </c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</row>
    <row r="296" spans="1:87" s="3" customFormat="1" ht="228" customHeight="1">
      <c r="A296" s="216" t="s">
        <v>700</v>
      </c>
      <c r="B296" s="346" t="s">
        <v>6</v>
      </c>
      <c r="C296" s="346" t="s">
        <v>7</v>
      </c>
      <c r="D296" s="346" t="s">
        <v>105</v>
      </c>
      <c r="E296" s="346" t="s">
        <v>8</v>
      </c>
      <c r="F296" s="346"/>
      <c r="G296" s="346" t="s">
        <v>507</v>
      </c>
      <c r="H296" s="346" t="s">
        <v>9</v>
      </c>
      <c r="I296" s="216" t="s">
        <v>106</v>
      </c>
      <c r="J296" s="217"/>
      <c r="K296" s="217"/>
      <c r="L296" s="217"/>
      <c r="M296" s="217"/>
      <c r="N296" s="217"/>
      <c r="O296" s="344"/>
      <c r="P296" s="344"/>
      <c r="Q296" s="344"/>
      <c r="R296" s="364"/>
      <c r="S296" s="344"/>
      <c r="T296" s="344"/>
      <c r="U296" s="112">
        <f aca="true" t="shared" si="93" ref="U296:Z296">U297+U298</f>
        <v>0</v>
      </c>
      <c r="V296" s="112">
        <f t="shared" si="93"/>
        <v>0</v>
      </c>
      <c r="W296" s="112">
        <f t="shared" si="93"/>
        <v>333636.84</v>
      </c>
      <c r="X296" s="112">
        <f t="shared" si="93"/>
        <v>333636.84</v>
      </c>
      <c r="Y296" s="112">
        <f t="shared" si="93"/>
        <v>333636.84</v>
      </c>
      <c r="Z296" s="112">
        <f t="shared" si="93"/>
        <v>333636.84</v>
      </c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</row>
    <row r="297" spans="1:87" s="74" customFormat="1" ht="249" customHeight="1">
      <c r="A297" s="186" t="s">
        <v>506</v>
      </c>
      <c r="B297" s="365"/>
      <c r="C297" s="365"/>
      <c r="D297" s="365"/>
      <c r="E297" s="365"/>
      <c r="F297" s="365"/>
      <c r="G297" s="365"/>
      <c r="H297" s="365"/>
      <c r="I297" s="798" t="s">
        <v>107</v>
      </c>
      <c r="J297" s="366"/>
      <c r="K297" s="366"/>
      <c r="L297" s="366"/>
      <c r="M297" s="154" t="s">
        <v>678</v>
      </c>
      <c r="N297" s="366"/>
      <c r="O297" s="367"/>
      <c r="P297" s="367"/>
      <c r="Q297" s="367"/>
      <c r="R297" s="368"/>
      <c r="S297" s="367"/>
      <c r="T297" s="367"/>
      <c r="U297" s="421">
        <v>0</v>
      </c>
      <c r="V297" s="421">
        <f>U297</f>
        <v>0</v>
      </c>
      <c r="W297" s="421">
        <v>308236.84</v>
      </c>
      <c r="X297" s="421">
        <f>W297</f>
        <v>308236.84</v>
      </c>
      <c r="Y297" s="421">
        <v>308236.84</v>
      </c>
      <c r="Z297" s="47">
        <f>Y297</f>
        <v>308236.84</v>
      </c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</row>
    <row r="298" spans="1:87" s="74" customFormat="1" ht="286.5" customHeight="1">
      <c r="A298" s="72" t="s">
        <v>514</v>
      </c>
      <c r="B298" s="365"/>
      <c r="C298" s="365"/>
      <c r="D298" s="365"/>
      <c r="E298" s="365"/>
      <c r="F298" s="365"/>
      <c r="G298" s="365"/>
      <c r="H298" s="365"/>
      <c r="I298" s="798"/>
      <c r="J298" s="366"/>
      <c r="K298" s="366"/>
      <c r="L298" s="366"/>
      <c r="M298" s="154" t="s">
        <v>523</v>
      </c>
      <c r="N298" s="366"/>
      <c r="O298" s="367"/>
      <c r="P298" s="367"/>
      <c r="Q298" s="367"/>
      <c r="R298" s="368"/>
      <c r="S298" s="367"/>
      <c r="T298" s="367"/>
      <c r="U298" s="421">
        <v>0</v>
      </c>
      <c r="V298" s="421">
        <v>0</v>
      </c>
      <c r="W298" s="421">
        <v>25400</v>
      </c>
      <c r="X298" s="421">
        <f>W298</f>
        <v>25400</v>
      </c>
      <c r="Y298" s="421">
        <v>25400</v>
      </c>
      <c r="Z298" s="47">
        <f>Y298</f>
        <v>25400</v>
      </c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</row>
    <row r="299" spans="1:87" s="74" customFormat="1" ht="228" customHeight="1">
      <c r="A299" s="216" t="s">
        <v>700</v>
      </c>
      <c r="B299" s="346" t="s">
        <v>6</v>
      </c>
      <c r="C299" s="346" t="s">
        <v>7</v>
      </c>
      <c r="D299" s="346" t="s">
        <v>105</v>
      </c>
      <c r="E299" s="346" t="s">
        <v>8</v>
      </c>
      <c r="F299" s="346"/>
      <c r="G299" s="346" t="s">
        <v>507</v>
      </c>
      <c r="H299" s="346" t="s">
        <v>9</v>
      </c>
      <c r="I299" s="216" t="s">
        <v>106</v>
      </c>
      <c r="J299" s="217"/>
      <c r="K299" s="217"/>
      <c r="L299" s="217"/>
      <c r="M299" s="217"/>
      <c r="N299" s="217"/>
      <c r="O299" s="344"/>
      <c r="P299" s="344"/>
      <c r="Q299" s="344"/>
      <c r="R299" s="364"/>
      <c r="S299" s="344"/>
      <c r="T299" s="344"/>
      <c r="U299" s="112">
        <f aca="true" t="shared" si="94" ref="U299:Z299">U300+U301</f>
        <v>341357.89</v>
      </c>
      <c r="V299" s="112">
        <f t="shared" si="94"/>
        <v>341357.89</v>
      </c>
      <c r="W299" s="112">
        <f t="shared" si="94"/>
        <v>0</v>
      </c>
      <c r="X299" s="112">
        <f t="shared" si="94"/>
        <v>0</v>
      </c>
      <c r="Y299" s="112">
        <f t="shared" si="94"/>
        <v>0</v>
      </c>
      <c r="Z299" s="112">
        <f t="shared" si="94"/>
        <v>0</v>
      </c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</row>
    <row r="300" spans="1:87" s="74" customFormat="1" ht="249" customHeight="1">
      <c r="A300" s="186" t="s">
        <v>506</v>
      </c>
      <c r="B300" s="365"/>
      <c r="C300" s="365"/>
      <c r="D300" s="365"/>
      <c r="E300" s="365"/>
      <c r="F300" s="365"/>
      <c r="G300" s="365"/>
      <c r="H300" s="365"/>
      <c r="I300" s="798" t="s">
        <v>107</v>
      </c>
      <c r="J300" s="366"/>
      <c r="K300" s="366"/>
      <c r="L300" s="366"/>
      <c r="M300" s="154" t="s">
        <v>678</v>
      </c>
      <c r="N300" s="366"/>
      <c r="O300" s="367"/>
      <c r="P300" s="367"/>
      <c r="Q300" s="367"/>
      <c r="R300" s="368"/>
      <c r="S300" s="367"/>
      <c r="T300" s="367"/>
      <c r="U300" s="421">
        <v>315957.89</v>
      </c>
      <c r="V300" s="421">
        <f>U300</f>
        <v>315957.89</v>
      </c>
      <c r="W300" s="421">
        <v>0</v>
      </c>
      <c r="X300" s="421">
        <f>W300</f>
        <v>0</v>
      </c>
      <c r="Y300" s="421">
        <v>0</v>
      </c>
      <c r="Z300" s="47">
        <f>Y300</f>
        <v>0</v>
      </c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</row>
    <row r="301" spans="1:87" s="74" customFormat="1" ht="286.5" customHeight="1">
      <c r="A301" s="72" t="s">
        <v>514</v>
      </c>
      <c r="B301" s="365"/>
      <c r="C301" s="365"/>
      <c r="D301" s="365"/>
      <c r="E301" s="365"/>
      <c r="F301" s="365"/>
      <c r="G301" s="365"/>
      <c r="H301" s="365"/>
      <c r="I301" s="798"/>
      <c r="J301" s="366"/>
      <c r="K301" s="366"/>
      <c r="L301" s="366"/>
      <c r="M301" s="154" t="s">
        <v>523</v>
      </c>
      <c r="N301" s="366"/>
      <c r="O301" s="367"/>
      <c r="P301" s="367"/>
      <c r="Q301" s="367"/>
      <c r="R301" s="368"/>
      <c r="S301" s="367"/>
      <c r="T301" s="367"/>
      <c r="U301" s="421">
        <v>25400</v>
      </c>
      <c r="V301" s="421">
        <f>U301</f>
        <v>25400</v>
      </c>
      <c r="W301" s="421">
        <v>0</v>
      </c>
      <c r="X301" s="421">
        <f>W301</f>
        <v>0</v>
      </c>
      <c r="Y301" s="421">
        <v>0</v>
      </c>
      <c r="Z301" s="47">
        <f>Y301</f>
        <v>0</v>
      </c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</row>
    <row r="302" spans="1:87" s="3" customFormat="1" ht="60.75" customHeight="1">
      <c r="A302" s="903" t="s">
        <v>108</v>
      </c>
      <c r="B302" s="904"/>
      <c r="C302" s="904"/>
      <c r="D302" s="904"/>
      <c r="E302" s="904"/>
      <c r="F302" s="904"/>
      <c r="G302" s="904"/>
      <c r="H302" s="904"/>
      <c r="I302" s="904"/>
      <c r="J302" s="904"/>
      <c r="K302" s="904"/>
      <c r="L302" s="904"/>
      <c r="M302" s="905"/>
      <c r="N302" s="370"/>
      <c r="O302" s="370"/>
      <c r="P302" s="370"/>
      <c r="Q302" s="369" t="e">
        <f>Q303+Q305+#REF!+Q310</f>
        <v>#REF!</v>
      </c>
      <c r="R302" s="369" t="e">
        <f>R303+R305+#REF!+R310</f>
        <v>#REF!</v>
      </c>
      <c r="S302" s="369" t="e">
        <f>S303+S305+#REF!+S310</f>
        <v>#REF!</v>
      </c>
      <c r="T302" s="369" t="e">
        <f>T303+T305+#REF!+T310</f>
        <v>#REF!</v>
      </c>
      <c r="U302" s="113">
        <f aca="true" t="shared" si="95" ref="U302:Z302">U303+U305+U310+U307+U341+U343</f>
        <v>32857737</v>
      </c>
      <c r="V302" s="113">
        <f t="shared" si="95"/>
        <v>32857737</v>
      </c>
      <c r="W302" s="113">
        <f t="shared" si="95"/>
        <v>6309600.0041000005</v>
      </c>
      <c r="X302" s="113">
        <f t="shared" si="95"/>
        <v>6309600.0041000005</v>
      </c>
      <c r="Y302" s="113">
        <f t="shared" si="95"/>
        <v>5770000.0041000005</v>
      </c>
      <c r="Z302" s="113">
        <f t="shared" si="95"/>
        <v>5770000.0041000005</v>
      </c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</row>
    <row r="303" spans="1:87" s="3" customFormat="1" ht="336" customHeight="1">
      <c r="A303" s="371" t="s">
        <v>109</v>
      </c>
      <c r="B303" s="346">
        <v>811</v>
      </c>
      <c r="C303" s="346" t="s">
        <v>103</v>
      </c>
      <c r="D303" s="346" t="s">
        <v>110</v>
      </c>
      <c r="E303" s="346" t="s">
        <v>8</v>
      </c>
      <c r="F303" s="346" t="s">
        <v>111</v>
      </c>
      <c r="G303" s="346" t="s">
        <v>497</v>
      </c>
      <c r="H303" s="346" t="s">
        <v>9</v>
      </c>
      <c r="I303" s="216" t="s">
        <v>112</v>
      </c>
      <c r="J303" s="372">
        <v>2900000</v>
      </c>
      <c r="K303" s="373">
        <v>2175000</v>
      </c>
      <c r="L303" s="374"/>
      <c r="M303" s="375"/>
      <c r="N303" s="625"/>
      <c r="O303" s="221">
        <v>112</v>
      </c>
      <c r="P303" s="221"/>
      <c r="Q303" s="221">
        <f aca="true" t="shared" si="96" ref="Q303:Z303">SUM(Q304:Q304,0)</f>
        <v>81378</v>
      </c>
      <c r="R303" s="221">
        <f t="shared" si="96"/>
        <v>81378</v>
      </c>
      <c r="S303" s="221">
        <f t="shared" si="96"/>
        <v>81378</v>
      </c>
      <c r="T303" s="221">
        <f t="shared" si="96"/>
        <v>81378</v>
      </c>
      <c r="U303" s="94">
        <f t="shared" si="96"/>
        <v>5584073</v>
      </c>
      <c r="V303" s="94">
        <f t="shared" si="96"/>
        <v>5584073</v>
      </c>
      <c r="W303" s="94">
        <f t="shared" si="96"/>
        <v>1450000.0030999999</v>
      </c>
      <c r="X303" s="94">
        <f t="shared" si="96"/>
        <v>1450000.0030999999</v>
      </c>
      <c r="Y303" s="94">
        <f t="shared" si="96"/>
        <v>1450000.0030999999</v>
      </c>
      <c r="Z303" s="94">
        <f t="shared" si="96"/>
        <v>1450000.0030999999</v>
      </c>
      <c r="AA303" s="1">
        <v>5584073</v>
      </c>
      <c r="AB303" s="1">
        <v>5584073</v>
      </c>
      <c r="AC303" s="1">
        <v>1450000.0030999999</v>
      </c>
      <c r="AD303" s="1">
        <v>1450000.0030999999</v>
      </c>
      <c r="AE303" s="1">
        <v>1450000.0030999999</v>
      </c>
      <c r="AF303" s="1">
        <v>1450000.0030999999</v>
      </c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</row>
    <row r="304" spans="1:87" s="3" customFormat="1" ht="166.5" customHeight="1">
      <c r="A304" s="692" t="s">
        <v>698</v>
      </c>
      <c r="B304" s="906"/>
      <c r="C304" s="848"/>
      <c r="D304" s="848"/>
      <c r="E304" s="848"/>
      <c r="F304" s="848"/>
      <c r="G304" s="848"/>
      <c r="H304" s="848"/>
      <c r="I304" s="692" t="s">
        <v>114</v>
      </c>
      <c r="J304" s="700"/>
      <c r="K304" s="701"/>
      <c r="L304" s="702" t="s">
        <v>11</v>
      </c>
      <c r="M304" s="376" t="s">
        <v>696</v>
      </c>
      <c r="N304" s="626"/>
      <c r="O304" s="53">
        <v>3</v>
      </c>
      <c r="P304" s="53">
        <v>27126</v>
      </c>
      <c r="Q304" s="53">
        <f>ROUND(O304*P304,0)</f>
        <v>81378</v>
      </c>
      <c r="R304" s="198">
        <f>P304*O304</f>
        <v>81378</v>
      </c>
      <c r="S304" s="198">
        <v>81378</v>
      </c>
      <c r="T304" s="198">
        <v>81378</v>
      </c>
      <c r="U304" s="75">
        <v>5584073</v>
      </c>
      <c r="V304" s="75">
        <v>5584073</v>
      </c>
      <c r="W304" s="47">
        <v>1450000.0030999999</v>
      </c>
      <c r="X304" s="47">
        <v>1450000.0030999999</v>
      </c>
      <c r="Y304" s="47">
        <v>1450000.0030999999</v>
      </c>
      <c r="Z304" s="88">
        <v>1450000.0030999999</v>
      </c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</row>
    <row r="305" spans="1:87" s="3" customFormat="1" ht="287.25" customHeight="1">
      <c r="A305" s="377" t="s">
        <v>115</v>
      </c>
      <c r="B305" s="346">
        <v>811</v>
      </c>
      <c r="C305" s="346" t="s">
        <v>103</v>
      </c>
      <c r="D305" s="346" t="s">
        <v>116</v>
      </c>
      <c r="E305" s="346" t="s">
        <v>8</v>
      </c>
      <c r="F305" s="346" t="s">
        <v>117</v>
      </c>
      <c r="G305" s="346" t="s">
        <v>498</v>
      </c>
      <c r="H305" s="346" t="s">
        <v>9</v>
      </c>
      <c r="I305" s="216" t="s">
        <v>112</v>
      </c>
      <c r="J305" s="372">
        <v>4600000</v>
      </c>
      <c r="K305" s="373">
        <v>3450000</v>
      </c>
      <c r="L305" s="378"/>
      <c r="M305" s="379"/>
      <c r="N305" s="625"/>
      <c r="O305" s="380"/>
      <c r="P305" s="380"/>
      <c r="Q305" s="221">
        <f aca="true" t="shared" si="97" ref="Q305:Z305">SUM(Q306:Q306)</f>
        <v>530880</v>
      </c>
      <c r="R305" s="221">
        <f t="shared" si="97"/>
        <v>530880</v>
      </c>
      <c r="S305" s="221">
        <f t="shared" si="97"/>
        <v>530880</v>
      </c>
      <c r="T305" s="221">
        <f t="shared" si="97"/>
        <v>530880</v>
      </c>
      <c r="U305" s="94">
        <f t="shared" si="97"/>
        <v>9072814</v>
      </c>
      <c r="V305" s="94">
        <f t="shared" si="97"/>
        <v>9072814</v>
      </c>
      <c r="W305" s="94">
        <f t="shared" si="97"/>
        <v>2300000.001</v>
      </c>
      <c r="X305" s="94">
        <f t="shared" si="97"/>
        <v>2300000.001</v>
      </c>
      <c r="Y305" s="94">
        <f t="shared" si="97"/>
        <v>2300000.001</v>
      </c>
      <c r="Z305" s="94">
        <f t="shared" si="97"/>
        <v>2300000.001</v>
      </c>
      <c r="AA305" s="1">
        <v>9072814</v>
      </c>
      <c r="AB305" s="1">
        <v>9072814</v>
      </c>
      <c r="AC305" s="1">
        <v>2300000.001</v>
      </c>
      <c r="AD305" s="1">
        <v>2300000.001</v>
      </c>
      <c r="AE305" s="1">
        <v>2300000.001</v>
      </c>
      <c r="AF305" s="1">
        <v>2300000.001</v>
      </c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</row>
    <row r="306" spans="1:87" s="3" customFormat="1" ht="186.75" customHeight="1">
      <c r="A306" s="692" t="s">
        <v>113</v>
      </c>
      <c r="B306" s="907"/>
      <c r="C306" s="908"/>
      <c r="D306" s="908"/>
      <c r="E306" s="908"/>
      <c r="F306" s="908"/>
      <c r="G306" s="908"/>
      <c r="H306" s="909"/>
      <c r="I306" s="692" t="s">
        <v>118</v>
      </c>
      <c r="J306" s="700"/>
      <c r="K306" s="700"/>
      <c r="L306" s="703" t="s">
        <v>11</v>
      </c>
      <c r="M306" s="703" t="s">
        <v>11</v>
      </c>
      <c r="N306" s="597" t="s">
        <v>254</v>
      </c>
      <c r="O306" s="381">
        <v>12</v>
      </c>
      <c r="P306" s="53">
        <v>44240</v>
      </c>
      <c r="Q306" s="198">
        <f>ROUND(O306*P306,0)</f>
        <v>530880</v>
      </c>
      <c r="R306" s="198">
        <f>P306*O306</f>
        <v>530880</v>
      </c>
      <c r="S306" s="198">
        <v>530880</v>
      </c>
      <c r="T306" s="198">
        <v>530880</v>
      </c>
      <c r="U306" s="88">
        <v>9072814</v>
      </c>
      <c r="V306" s="88">
        <v>9072814</v>
      </c>
      <c r="W306" s="88">
        <v>2300000.001</v>
      </c>
      <c r="X306" s="88">
        <v>2300000.001</v>
      </c>
      <c r="Y306" s="88">
        <v>2300000.001</v>
      </c>
      <c r="Z306" s="88">
        <v>2300000.001</v>
      </c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</row>
    <row r="307" spans="1:87" s="757" customFormat="1" ht="207.75" customHeight="1">
      <c r="A307" s="758" t="s">
        <v>720</v>
      </c>
      <c r="B307" s="759">
        <v>811</v>
      </c>
      <c r="C307" s="759" t="s">
        <v>103</v>
      </c>
      <c r="D307" s="759" t="s">
        <v>721</v>
      </c>
      <c r="E307" s="759">
        <v>612</v>
      </c>
      <c r="F307" s="759"/>
      <c r="G307" s="759" t="s">
        <v>722</v>
      </c>
      <c r="H307" s="759" t="s">
        <v>723</v>
      </c>
      <c r="I307" s="760" t="s">
        <v>724</v>
      </c>
      <c r="J307" s="749"/>
      <c r="K307" s="749"/>
      <c r="L307" s="750"/>
      <c r="M307" s="750"/>
      <c r="N307" s="751"/>
      <c r="O307" s="752"/>
      <c r="P307" s="753"/>
      <c r="Q307" s="754"/>
      <c r="R307" s="754"/>
      <c r="S307" s="754"/>
      <c r="T307" s="754"/>
      <c r="U307" s="92">
        <f aca="true" t="shared" si="98" ref="U307:Z307">U308+U309</f>
        <v>966810</v>
      </c>
      <c r="V307" s="92">
        <f t="shared" si="98"/>
        <v>966810</v>
      </c>
      <c r="W307" s="92">
        <f t="shared" si="98"/>
        <v>0</v>
      </c>
      <c r="X307" s="92">
        <f t="shared" si="98"/>
        <v>0</v>
      </c>
      <c r="Y307" s="92">
        <f t="shared" si="98"/>
        <v>0</v>
      </c>
      <c r="Z307" s="92">
        <f t="shared" si="98"/>
        <v>0</v>
      </c>
      <c r="AA307" s="756"/>
      <c r="AB307" s="756"/>
      <c r="AC307" s="756"/>
      <c r="AD307" s="756"/>
      <c r="AE307" s="756"/>
      <c r="AF307" s="756"/>
      <c r="AG307" s="756"/>
      <c r="AH307" s="756"/>
      <c r="AI307" s="756"/>
      <c r="AJ307" s="756"/>
      <c r="AK307" s="756"/>
      <c r="AL307" s="756"/>
      <c r="AM307" s="756"/>
      <c r="AN307" s="756"/>
      <c r="AO307" s="756"/>
      <c r="AP307" s="756"/>
      <c r="AQ307" s="756"/>
      <c r="AR307" s="756"/>
      <c r="AS307" s="756"/>
      <c r="AT307" s="756"/>
      <c r="AU307" s="756"/>
      <c r="AV307" s="756"/>
      <c r="AW307" s="756"/>
      <c r="AX307" s="756"/>
      <c r="AY307" s="756"/>
      <c r="AZ307" s="756"/>
      <c r="BA307" s="756"/>
      <c r="BB307" s="756"/>
      <c r="BC307" s="756"/>
      <c r="BD307" s="756"/>
      <c r="BE307" s="756"/>
      <c r="BF307" s="756"/>
      <c r="BG307" s="756"/>
      <c r="BH307" s="756"/>
      <c r="BI307" s="756"/>
      <c r="BJ307" s="756"/>
      <c r="BK307" s="756"/>
      <c r="BL307" s="756"/>
      <c r="BM307" s="756"/>
      <c r="BN307" s="756"/>
      <c r="BO307" s="756"/>
      <c r="BP307" s="756"/>
      <c r="BQ307" s="756"/>
      <c r="BR307" s="756"/>
      <c r="BS307" s="756"/>
      <c r="BT307" s="756"/>
      <c r="BU307" s="756"/>
      <c r="BV307" s="756"/>
      <c r="BW307" s="756"/>
      <c r="BX307" s="756"/>
      <c r="BY307" s="756"/>
      <c r="BZ307" s="756"/>
      <c r="CA307" s="756"/>
      <c r="CB307" s="756"/>
      <c r="CC307" s="756"/>
      <c r="CD307" s="756"/>
      <c r="CE307" s="756"/>
      <c r="CF307" s="756"/>
      <c r="CG307" s="756"/>
      <c r="CH307" s="756"/>
      <c r="CI307" s="756"/>
    </row>
    <row r="308" spans="1:87" s="3" customFormat="1" ht="141.75">
      <c r="A308" s="925" t="s">
        <v>539</v>
      </c>
      <c r="B308" s="907"/>
      <c r="C308" s="908"/>
      <c r="D308" s="908"/>
      <c r="E308" s="908"/>
      <c r="F308" s="908"/>
      <c r="G308" s="908"/>
      <c r="H308" s="909"/>
      <c r="I308" s="925" t="s">
        <v>770</v>
      </c>
      <c r="J308" s="700"/>
      <c r="K308" s="700"/>
      <c r="L308" s="703"/>
      <c r="M308" s="703" t="s">
        <v>771</v>
      </c>
      <c r="N308" s="597"/>
      <c r="O308" s="381"/>
      <c r="P308" s="53"/>
      <c r="Q308" s="198"/>
      <c r="R308" s="198"/>
      <c r="S308" s="198"/>
      <c r="T308" s="198"/>
      <c r="U308" s="88">
        <v>487970</v>
      </c>
      <c r="V308" s="88">
        <f>U308</f>
        <v>487970</v>
      </c>
      <c r="W308" s="88">
        <v>0</v>
      </c>
      <c r="X308" s="88">
        <v>0</v>
      </c>
      <c r="Y308" s="88">
        <v>0</v>
      </c>
      <c r="Z308" s="88">
        <v>0</v>
      </c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</row>
    <row r="309" spans="1:87" s="3" customFormat="1" ht="149.25" customHeight="1">
      <c r="A309" s="926"/>
      <c r="B309" s="1040"/>
      <c r="C309" s="1041"/>
      <c r="D309" s="1041"/>
      <c r="E309" s="1041"/>
      <c r="F309" s="1041"/>
      <c r="G309" s="1041"/>
      <c r="H309" s="1042"/>
      <c r="I309" s="926"/>
      <c r="J309" s="700"/>
      <c r="K309" s="700"/>
      <c r="L309" s="703"/>
      <c r="M309" s="703" t="s">
        <v>772</v>
      </c>
      <c r="N309" s="597"/>
      <c r="O309" s="381"/>
      <c r="P309" s="53"/>
      <c r="Q309" s="198"/>
      <c r="R309" s="198"/>
      <c r="S309" s="198"/>
      <c r="T309" s="198"/>
      <c r="U309" s="88">
        <v>478840</v>
      </c>
      <c r="V309" s="88">
        <f>U309</f>
        <v>478840</v>
      </c>
      <c r="W309" s="88">
        <v>0</v>
      </c>
      <c r="X309" s="88">
        <v>0</v>
      </c>
      <c r="Y309" s="88">
        <f>X309</f>
        <v>0</v>
      </c>
      <c r="Z309" s="88">
        <f>Y309</f>
        <v>0</v>
      </c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</row>
    <row r="310" spans="1:87" s="3" customFormat="1" ht="291.75" customHeight="1">
      <c r="A310" s="377" t="s">
        <v>119</v>
      </c>
      <c r="B310" s="629" t="s">
        <v>6</v>
      </c>
      <c r="C310" s="629" t="s">
        <v>120</v>
      </c>
      <c r="D310" s="630" t="s">
        <v>121</v>
      </c>
      <c r="E310" s="629" t="s">
        <v>8</v>
      </c>
      <c r="F310" s="629" t="s">
        <v>122</v>
      </c>
      <c r="G310" s="629" t="s">
        <v>499</v>
      </c>
      <c r="H310" s="629" t="s">
        <v>9</v>
      </c>
      <c r="I310" s="371" t="s">
        <v>123</v>
      </c>
      <c r="J310" s="382">
        <f>J311+J312+J313+J314+J315+J316+J317+J318+J319+J320+J321+J322+J323+J324+J325+J326+J327+J328+J329+J330+J331+J332+J333+J334+J335+J336+J337+J338+J339+J340-1911.25</f>
        <v>23038374.160000004</v>
      </c>
      <c r="K310" s="359">
        <f>K311+K312+K313+K314+K315+K316+K317+K318+K319+K320+K321+K322+K323+K325+K324+K326+K327+K328+K329+K330+K331+K332+K333+K334+K335+K336+K337+K338+K339+K340</f>
        <v>25914199.970000003</v>
      </c>
      <c r="L310" s="383" t="s">
        <v>331</v>
      </c>
      <c r="M310" s="375"/>
      <c r="N310" s="625"/>
      <c r="O310" s="221">
        <f>SUM(O311:O339)</f>
        <v>67193</v>
      </c>
      <c r="P310" s="221"/>
      <c r="Q310" s="94">
        <f>Q311+Q312+Q313+Q314+Q315+Q316+Q317+Q318+Q319+Q320+Q321+Q322+Q323+Q324+Q325+Q326+Q327+Q328+Q329+Q330+Q331+Q332+Q333+Q334+Q335+Q336+Q337+Q338+Q339</f>
        <v>24815080.398359004</v>
      </c>
      <c r="R310" s="219">
        <f>R311+R312+R313+R314+R315+R316+R317+R318+R319+R320+R321+R322+R323+R324+R325+R326+R327+R328+R329+R330+R331+R332+R333+R334+R335+R336+R337+R338+R339</f>
        <v>24815080</v>
      </c>
      <c r="S310" s="94">
        <f>S311+S312+S313+S314+S315+S316+S317+S318+S319+S320+S321+S322+S323+S324+S325+S326+S327+S328+S329+S330+S331+S332+S333+S334+S335+S336+S337+S338+S339</f>
        <v>24815080</v>
      </c>
      <c r="T310" s="94">
        <f>T311+T312+T313+T314+T315+T316+T317+T318+T319+T320+T321+T322+T323+T324+T325+T326+T327+T328+T329+T330+T331+T332+T333+T334+T335+T336+T337+T338+T339</f>
        <v>24815080</v>
      </c>
      <c r="U310" s="94">
        <f aca="true" t="shared" si="99" ref="U310:Z310">U311+U312+U313+U314+U315+U316+U317+U318+U319+U320+U321+U322+U323+U324+U325+U326+U327+U328+U329+U330+U331+U332+U333+U334+U335+U336+U337+U338+U339+U340</f>
        <v>12407540</v>
      </c>
      <c r="V310" s="94">
        <f t="shared" si="99"/>
        <v>12407540</v>
      </c>
      <c r="W310" s="94">
        <f t="shared" si="99"/>
        <v>2559600</v>
      </c>
      <c r="X310" s="94">
        <f t="shared" si="99"/>
        <v>2559600</v>
      </c>
      <c r="Y310" s="94">
        <f t="shared" si="99"/>
        <v>2020000</v>
      </c>
      <c r="Z310" s="94">
        <f t="shared" si="99"/>
        <v>2020000</v>
      </c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</row>
    <row r="311" spans="1:87" s="3" customFormat="1" ht="87.75" customHeight="1">
      <c r="A311" s="384" t="s">
        <v>24</v>
      </c>
      <c r="B311" s="842"/>
      <c r="C311" s="842"/>
      <c r="D311" s="842"/>
      <c r="E311" s="842"/>
      <c r="F311" s="842"/>
      <c r="G311" s="842"/>
      <c r="H311" s="842"/>
      <c r="I311" s="798" t="s">
        <v>124</v>
      </c>
      <c r="J311" s="385">
        <v>1595893.71</v>
      </c>
      <c r="K311" s="386">
        <v>1766000</v>
      </c>
      <c r="L311" s="386"/>
      <c r="M311" s="387"/>
      <c r="N311" s="597" t="s">
        <v>242</v>
      </c>
      <c r="O311" s="29">
        <v>6108</v>
      </c>
      <c r="P311" s="29">
        <f>Q311/O311</f>
        <v>381.1198428290766</v>
      </c>
      <c r="Q311" s="29">
        <v>2327880</v>
      </c>
      <c r="R311" s="388">
        <f>Q311</f>
        <v>2327880</v>
      </c>
      <c r="S311" s="29">
        <v>2327880</v>
      </c>
      <c r="T311" s="29">
        <v>2327880</v>
      </c>
      <c r="U311" s="47">
        <v>1163940</v>
      </c>
      <c r="V311" s="47">
        <f>U311</f>
        <v>1163940</v>
      </c>
      <c r="W311" s="47">
        <v>0</v>
      </c>
      <c r="X311" s="47">
        <f>W311</f>
        <v>0</v>
      </c>
      <c r="Y311" s="47">
        <v>0</v>
      </c>
      <c r="Z311" s="88">
        <f>Y311</f>
        <v>0</v>
      </c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</row>
    <row r="312" spans="1:87" s="3" customFormat="1" ht="45" customHeight="1">
      <c r="A312" s="389" t="s">
        <v>125</v>
      </c>
      <c r="B312" s="842"/>
      <c r="C312" s="842"/>
      <c r="D312" s="842"/>
      <c r="E312" s="842"/>
      <c r="F312" s="842"/>
      <c r="G312" s="842"/>
      <c r="H312" s="842"/>
      <c r="I312" s="798"/>
      <c r="J312" s="385">
        <v>1591</v>
      </c>
      <c r="K312" s="386">
        <v>3400</v>
      </c>
      <c r="L312" s="386"/>
      <c r="M312" s="59"/>
      <c r="N312" s="597" t="s">
        <v>242</v>
      </c>
      <c r="O312" s="29">
        <v>17</v>
      </c>
      <c r="P312" s="29">
        <v>199.98</v>
      </c>
      <c r="Q312" s="29">
        <v>3400</v>
      </c>
      <c r="R312" s="29">
        <v>3400</v>
      </c>
      <c r="S312" s="29">
        <v>3400</v>
      </c>
      <c r="T312" s="29">
        <v>3400</v>
      </c>
      <c r="U312" s="47">
        <v>1701</v>
      </c>
      <c r="V312" s="47">
        <f aca="true" t="shared" si="100" ref="V312:V340">U312</f>
        <v>1701</v>
      </c>
      <c r="W312" s="47">
        <v>0</v>
      </c>
      <c r="X312" s="47">
        <f aca="true" t="shared" si="101" ref="X312:X339">W312</f>
        <v>0</v>
      </c>
      <c r="Y312" s="47">
        <v>0</v>
      </c>
      <c r="Z312" s="88">
        <f aca="true" t="shared" si="102" ref="Z312:Z340">Y312</f>
        <v>0</v>
      </c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</row>
    <row r="313" spans="1:87" s="3" customFormat="1" ht="60.75">
      <c r="A313" s="384" t="s">
        <v>21</v>
      </c>
      <c r="B313" s="842"/>
      <c r="C313" s="842"/>
      <c r="D313" s="842"/>
      <c r="E313" s="842"/>
      <c r="F313" s="842"/>
      <c r="G313" s="842"/>
      <c r="H313" s="842"/>
      <c r="I313" s="798"/>
      <c r="J313" s="385">
        <v>1858829.98</v>
      </c>
      <c r="K313" s="386">
        <v>1899710</v>
      </c>
      <c r="L313" s="386"/>
      <c r="M313" s="387"/>
      <c r="N313" s="627" t="s">
        <v>243</v>
      </c>
      <c r="O313" s="29">
        <v>5196</v>
      </c>
      <c r="P313" s="29">
        <v>365.6</v>
      </c>
      <c r="Q313" s="29">
        <v>1899900</v>
      </c>
      <c r="R313" s="57">
        <v>1899900</v>
      </c>
      <c r="S313" s="29">
        <v>1899900</v>
      </c>
      <c r="T313" s="29">
        <v>1899900</v>
      </c>
      <c r="U313" s="47">
        <v>949950</v>
      </c>
      <c r="V313" s="47">
        <f t="shared" si="100"/>
        <v>949950</v>
      </c>
      <c r="W313" s="47">
        <v>0</v>
      </c>
      <c r="X313" s="47">
        <f t="shared" si="101"/>
        <v>0</v>
      </c>
      <c r="Y313" s="47">
        <v>0</v>
      </c>
      <c r="Z313" s="88">
        <f t="shared" si="102"/>
        <v>0</v>
      </c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</row>
    <row r="314" spans="1:87" s="3" customFormat="1" ht="60.75">
      <c r="A314" s="391" t="s">
        <v>22</v>
      </c>
      <c r="B314" s="842"/>
      <c r="C314" s="842"/>
      <c r="D314" s="842"/>
      <c r="E314" s="842"/>
      <c r="F314" s="842"/>
      <c r="G314" s="842"/>
      <c r="H314" s="842"/>
      <c r="I314" s="798"/>
      <c r="J314" s="385">
        <v>1592422.63</v>
      </c>
      <c r="K314" s="386">
        <v>1625720</v>
      </c>
      <c r="L314" s="386"/>
      <c r="M314" s="387"/>
      <c r="N314" s="597" t="s">
        <v>243</v>
      </c>
      <c r="O314" s="29">
        <v>4490</v>
      </c>
      <c r="P314" s="29">
        <v>363</v>
      </c>
      <c r="Q314" s="29">
        <v>1629950</v>
      </c>
      <c r="R314" s="57">
        <v>1629950</v>
      </c>
      <c r="S314" s="29">
        <v>1629950</v>
      </c>
      <c r="T314" s="29">
        <v>1629950</v>
      </c>
      <c r="U314" s="47">
        <v>814975</v>
      </c>
      <c r="V314" s="47">
        <f t="shared" si="100"/>
        <v>814975</v>
      </c>
      <c r="W314" s="47">
        <v>0</v>
      </c>
      <c r="X314" s="47">
        <f t="shared" si="101"/>
        <v>0</v>
      </c>
      <c r="Y314" s="47">
        <v>0</v>
      </c>
      <c r="Z314" s="88">
        <f t="shared" si="102"/>
        <v>0</v>
      </c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</row>
    <row r="315" spans="1:87" s="3" customFormat="1" ht="60.75">
      <c r="A315" s="384" t="s">
        <v>23</v>
      </c>
      <c r="B315" s="842"/>
      <c r="C315" s="842"/>
      <c r="D315" s="842"/>
      <c r="E315" s="842"/>
      <c r="F315" s="842"/>
      <c r="G315" s="842"/>
      <c r="H315" s="842"/>
      <c r="I315" s="798"/>
      <c r="J315" s="385">
        <v>1652464.32</v>
      </c>
      <c r="K315" s="363">
        <v>1791930</v>
      </c>
      <c r="L315" s="362"/>
      <c r="M315" s="59"/>
      <c r="N315" s="627" t="s">
        <v>243</v>
      </c>
      <c r="O315" s="29">
        <v>6000</v>
      </c>
      <c r="P315" s="29">
        <v>359.9</v>
      </c>
      <c r="Q315" s="29">
        <v>2159500</v>
      </c>
      <c r="R315" s="29">
        <v>2159500</v>
      </c>
      <c r="S315" s="29">
        <v>2159500</v>
      </c>
      <c r="T315" s="29">
        <v>2159500</v>
      </c>
      <c r="U315" s="47">
        <v>1079750</v>
      </c>
      <c r="V315" s="47">
        <f t="shared" si="100"/>
        <v>1079750</v>
      </c>
      <c r="W315" s="47">
        <v>0</v>
      </c>
      <c r="X315" s="47">
        <f t="shared" si="101"/>
        <v>0</v>
      </c>
      <c r="Y315" s="47">
        <v>0</v>
      </c>
      <c r="Z315" s="88">
        <f t="shared" si="102"/>
        <v>0</v>
      </c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</row>
    <row r="316" spans="1:87" s="3" customFormat="1" ht="40.5">
      <c r="A316" s="389" t="s">
        <v>39</v>
      </c>
      <c r="B316" s="842"/>
      <c r="C316" s="842"/>
      <c r="D316" s="842"/>
      <c r="E316" s="842"/>
      <c r="F316" s="842"/>
      <c r="G316" s="842"/>
      <c r="H316" s="842"/>
      <c r="I316" s="798"/>
      <c r="J316" s="392">
        <v>2801388.39</v>
      </c>
      <c r="K316" s="363">
        <v>3167580</v>
      </c>
      <c r="L316" s="362"/>
      <c r="M316" s="393"/>
      <c r="N316" s="627" t="s">
        <v>243</v>
      </c>
      <c r="O316" s="29">
        <v>8497</v>
      </c>
      <c r="P316" s="29">
        <v>372.8</v>
      </c>
      <c r="Q316" s="29">
        <v>3167400</v>
      </c>
      <c r="R316" s="29">
        <v>3167400</v>
      </c>
      <c r="S316" s="29">
        <v>3167400</v>
      </c>
      <c r="T316" s="29">
        <v>3167400</v>
      </c>
      <c r="U316" s="47">
        <v>1583700</v>
      </c>
      <c r="V316" s="47">
        <f t="shared" si="100"/>
        <v>1583700</v>
      </c>
      <c r="W316" s="47">
        <v>0</v>
      </c>
      <c r="X316" s="47">
        <f t="shared" si="101"/>
        <v>0</v>
      </c>
      <c r="Y316" s="47">
        <v>0</v>
      </c>
      <c r="Z316" s="88">
        <f t="shared" si="102"/>
        <v>0</v>
      </c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</row>
    <row r="317" spans="1:87" s="3" customFormat="1" ht="40.5">
      <c r="A317" s="389" t="s">
        <v>48</v>
      </c>
      <c r="B317" s="842"/>
      <c r="C317" s="842"/>
      <c r="D317" s="842"/>
      <c r="E317" s="842"/>
      <c r="F317" s="842"/>
      <c r="G317" s="842"/>
      <c r="H317" s="842"/>
      <c r="I317" s="798"/>
      <c r="J317" s="385">
        <v>753935.79</v>
      </c>
      <c r="K317" s="386">
        <v>752265</v>
      </c>
      <c r="L317" s="386"/>
      <c r="M317" s="70"/>
      <c r="N317" s="597" t="s">
        <v>243</v>
      </c>
      <c r="O317" s="29">
        <v>1816</v>
      </c>
      <c r="P317" s="29">
        <v>414.2428</v>
      </c>
      <c r="Q317" s="29">
        <f>ROUND(P317*O317,0)</f>
        <v>752265</v>
      </c>
      <c r="R317" s="57">
        <v>752265</v>
      </c>
      <c r="S317" s="29">
        <v>752265</v>
      </c>
      <c r="T317" s="29">
        <v>752265</v>
      </c>
      <c r="U317" s="47">
        <v>376132</v>
      </c>
      <c r="V317" s="47">
        <f t="shared" si="100"/>
        <v>376132</v>
      </c>
      <c r="W317" s="47">
        <v>0</v>
      </c>
      <c r="X317" s="47">
        <f t="shared" si="101"/>
        <v>0</v>
      </c>
      <c r="Y317" s="47">
        <v>0</v>
      </c>
      <c r="Z317" s="88">
        <f t="shared" si="102"/>
        <v>0</v>
      </c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</row>
    <row r="318" spans="1:87" s="3" customFormat="1" ht="40.5">
      <c r="A318" s="384" t="s">
        <v>25</v>
      </c>
      <c r="B318" s="842"/>
      <c r="C318" s="842"/>
      <c r="D318" s="842"/>
      <c r="E318" s="842"/>
      <c r="F318" s="842"/>
      <c r="G318" s="842"/>
      <c r="H318" s="842"/>
      <c r="I318" s="798"/>
      <c r="J318" s="385">
        <v>1110872.95</v>
      </c>
      <c r="K318" s="386">
        <v>1116625</v>
      </c>
      <c r="L318" s="386"/>
      <c r="M318" s="387"/>
      <c r="N318" s="627" t="s">
        <v>243</v>
      </c>
      <c r="O318" s="29">
        <v>3078</v>
      </c>
      <c r="P318" s="29">
        <v>377.8835</v>
      </c>
      <c r="Q318" s="29">
        <f>O318*P318</f>
        <v>1163125.4130000002</v>
      </c>
      <c r="R318" s="57">
        <v>1163125</v>
      </c>
      <c r="S318" s="29">
        <v>1163125</v>
      </c>
      <c r="T318" s="29">
        <v>1163125</v>
      </c>
      <c r="U318" s="47">
        <v>581562</v>
      </c>
      <c r="V318" s="47">
        <f t="shared" si="100"/>
        <v>581562</v>
      </c>
      <c r="W318" s="47">
        <v>0</v>
      </c>
      <c r="X318" s="47">
        <f t="shared" si="101"/>
        <v>0</v>
      </c>
      <c r="Y318" s="47">
        <v>0</v>
      </c>
      <c r="Z318" s="88">
        <f t="shared" si="102"/>
        <v>0</v>
      </c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</row>
    <row r="319" spans="1:87" s="3" customFormat="1" ht="40.5">
      <c r="A319" s="384" t="s">
        <v>26</v>
      </c>
      <c r="B319" s="842"/>
      <c r="C319" s="842"/>
      <c r="D319" s="842"/>
      <c r="E319" s="842"/>
      <c r="F319" s="842"/>
      <c r="G319" s="842"/>
      <c r="H319" s="842"/>
      <c r="I319" s="798"/>
      <c r="J319" s="385">
        <v>855084.53</v>
      </c>
      <c r="K319" s="386">
        <v>857280</v>
      </c>
      <c r="L319" s="386"/>
      <c r="M319" s="59"/>
      <c r="N319" s="627" t="s">
        <v>243</v>
      </c>
      <c r="O319" s="29">
        <v>2366</v>
      </c>
      <c r="P319" s="29">
        <v>361.4</v>
      </c>
      <c r="Q319" s="29">
        <v>855065</v>
      </c>
      <c r="R319" s="57">
        <v>855065</v>
      </c>
      <c r="S319" s="29">
        <v>855065</v>
      </c>
      <c r="T319" s="29">
        <v>855065</v>
      </c>
      <c r="U319" s="47">
        <v>427533</v>
      </c>
      <c r="V319" s="47">
        <f t="shared" si="100"/>
        <v>427533</v>
      </c>
      <c r="W319" s="47">
        <v>0</v>
      </c>
      <c r="X319" s="47">
        <f t="shared" si="101"/>
        <v>0</v>
      </c>
      <c r="Y319" s="47">
        <v>0</v>
      </c>
      <c r="Z319" s="88">
        <f t="shared" si="102"/>
        <v>0</v>
      </c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</row>
    <row r="320" spans="1:87" s="3" customFormat="1" ht="45.75" customHeight="1">
      <c r="A320" s="389" t="s">
        <v>53</v>
      </c>
      <c r="B320" s="842"/>
      <c r="C320" s="842"/>
      <c r="D320" s="842"/>
      <c r="E320" s="842"/>
      <c r="F320" s="842"/>
      <c r="G320" s="842"/>
      <c r="H320" s="842"/>
      <c r="I320" s="798"/>
      <c r="J320" s="385">
        <v>812838</v>
      </c>
      <c r="K320" s="386">
        <v>601020</v>
      </c>
      <c r="L320" s="386"/>
      <c r="M320" s="394"/>
      <c r="N320" s="627" t="s">
        <v>243</v>
      </c>
      <c r="O320" s="29">
        <v>1634</v>
      </c>
      <c r="P320" s="29">
        <v>368.111995</v>
      </c>
      <c r="Q320" s="29">
        <f>O320*P320</f>
        <v>601494.99983</v>
      </c>
      <c r="R320" s="29">
        <v>601495</v>
      </c>
      <c r="S320" s="29">
        <v>601495</v>
      </c>
      <c r="T320" s="29">
        <v>601495</v>
      </c>
      <c r="U320" s="47">
        <v>300747</v>
      </c>
      <c r="V320" s="47">
        <f t="shared" si="100"/>
        <v>300747</v>
      </c>
      <c r="W320" s="47">
        <v>0</v>
      </c>
      <c r="X320" s="47">
        <f t="shared" si="101"/>
        <v>0</v>
      </c>
      <c r="Y320" s="47">
        <v>0</v>
      </c>
      <c r="Z320" s="88">
        <f t="shared" si="102"/>
        <v>0</v>
      </c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</row>
    <row r="321" spans="1:87" s="3" customFormat="1" ht="45">
      <c r="A321" s="384" t="s">
        <v>28</v>
      </c>
      <c r="B321" s="842"/>
      <c r="C321" s="842"/>
      <c r="D321" s="842"/>
      <c r="E321" s="842"/>
      <c r="F321" s="842"/>
      <c r="G321" s="842"/>
      <c r="H321" s="842"/>
      <c r="I321" s="798"/>
      <c r="J321" s="385">
        <v>1081568</v>
      </c>
      <c r="K321" s="386">
        <v>688355.415</v>
      </c>
      <c r="L321" s="386"/>
      <c r="M321" s="395"/>
      <c r="N321" s="597" t="s">
        <v>242</v>
      </c>
      <c r="O321" s="29">
        <v>1825</v>
      </c>
      <c r="P321" s="29">
        <v>364.8</v>
      </c>
      <c r="Q321" s="29">
        <v>665775</v>
      </c>
      <c r="R321" s="29">
        <v>665775</v>
      </c>
      <c r="S321" s="29">
        <v>665775</v>
      </c>
      <c r="T321" s="29">
        <v>665775</v>
      </c>
      <c r="U321" s="47">
        <v>332887</v>
      </c>
      <c r="V321" s="47">
        <f t="shared" si="100"/>
        <v>332887</v>
      </c>
      <c r="W321" s="47">
        <v>0</v>
      </c>
      <c r="X321" s="47">
        <f t="shared" si="101"/>
        <v>0</v>
      </c>
      <c r="Y321" s="47">
        <v>0</v>
      </c>
      <c r="Z321" s="88">
        <f t="shared" si="102"/>
        <v>0</v>
      </c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</row>
    <row r="322" spans="1:87" s="3" customFormat="1" ht="40.5">
      <c r="A322" s="384" t="s">
        <v>54</v>
      </c>
      <c r="B322" s="842"/>
      <c r="C322" s="842"/>
      <c r="D322" s="842"/>
      <c r="E322" s="842"/>
      <c r="F322" s="842"/>
      <c r="G322" s="842"/>
      <c r="H322" s="842"/>
      <c r="I322" s="798"/>
      <c r="J322" s="385">
        <v>365397.6</v>
      </c>
      <c r="K322" s="386">
        <v>448920</v>
      </c>
      <c r="L322" s="386"/>
      <c r="M322" s="70"/>
      <c r="N322" s="597" t="s">
        <v>243</v>
      </c>
      <c r="O322" s="29">
        <v>1152</v>
      </c>
      <c r="P322" s="29">
        <v>389.7</v>
      </c>
      <c r="Q322" s="29">
        <v>448920</v>
      </c>
      <c r="R322" s="57">
        <v>448920</v>
      </c>
      <c r="S322" s="29">
        <v>448920</v>
      </c>
      <c r="T322" s="29">
        <v>448920</v>
      </c>
      <c r="U322" s="47">
        <v>224460</v>
      </c>
      <c r="V322" s="47">
        <f t="shared" si="100"/>
        <v>224460</v>
      </c>
      <c r="W322" s="47">
        <v>0</v>
      </c>
      <c r="X322" s="47">
        <f t="shared" si="101"/>
        <v>0</v>
      </c>
      <c r="Y322" s="47">
        <v>0</v>
      </c>
      <c r="Z322" s="88">
        <f t="shared" si="102"/>
        <v>0</v>
      </c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</row>
    <row r="323" spans="1:87" s="3" customFormat="1" ht="40.5">
      <c r="A323" s="389" t="s">
        <v>30</v>
      </c>
      <c r="B323" s="842"/>
      <c r="C323" s="842"/>
      <c r="D323" s="842"/>
      <c r="E323" s="842"/>
      <c r="F323" s="842"/>
      <c r="G323" s="842"/>
      <c r="H323" s="842"/>
      <c r="I323" s="798"/>
      <c r="J323" s="385">
        <v>576957.18</v>
      </c>
      <c r="K323" s="363">
        <v>665640</v>
      </c>
      <c r="L323" s="362"/>
      <c r="M323" s="59"/>
      <c r="N323" s="627" t="s">
        <v>243</v>
      </c>
      <c r="O323" s="29">
        <v>1790</v>
      </c>
      <c r="P323" s="29">
        <v>360.39</v>
      </c>
      <c r="Q323" s="29">
        <v>645100</v>
      </c>
      <c r="R323" s="29">
        <v>645100</v>
      </c>
      <c r="S323" s="29">
        <v>645100</v>
      </c>
      <c r="T323" s="29">
        <v>645100</v>
      </c>
      <c r="U323" s="47">
        <v>322550</v>
      </c>
      <c r="V323" s="47">
        <f t="shared" si="100"/>
        <v>322550</v>
      </c>
      <c r="W323" s="47">
        <v>0</v>
      </c>
      <c r="X323" s="47">
        <f t="shared" si="101"/>
        <v>0</v>
      </c>
      <c r="Y323" s="47">
        <v>0</v>
      </c>
      <c r="Z323" s="88">
        <f t="shared" si="102"/>
        <v>0</v>
      </c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</row>
    <row r="324" spans="1:87" s="3" customFormat="1" ht="40.5">
      <c r="A324" s="389" t="s">
        <v>31</v>
      </c>
      <c r="B324" s="842"/>
      <c r="C324" s="842"/>
      <c r="D324" s="842"/>
      <c r="E324" s="842"/>
      <c r="F324" s="842"/>
      <c r="G324" s="842"/>
      <c r="H324" s="842"/>
      <c r="I324" s="798"/>
      <c r="J324" s="385">
        <v>269804.29</v>
      </c>
      <c r="K324" s="363">
        <v>265140</v>
      </c>
      <c r="L324" s="362"/>
      <c r="M324" s="59"/>
      <c r="N324" s="627" t="s">
        <v>243</v>
      </c>
      <c r="O324" s="29">
        <v>740</v>
      </c>
      <c r="P324" s="29">
        <v>365.2</v>
      </c>
      <c r="Q324" s="29">
        <v>270250</v>
      </c>
      <c r="R324" s="29">
        <v>270250</v>
      </c>
      <c r="S324" s="29">
        <v>270250</v>
      </c>
      <c r="T324" s="29">
        <v>270250</v>
      </c>
      <c r="U324" s="47">
        <v>135125</v>
      </c>
      <c r="V324" s="47">
        <f t="shared" si="100"/>
        <v>135125</v>
      </c>
      <c r="W324" s="47">
        <v>0</v>
      </c>
      <c r="X324" s="47">
        <f t="shared" si="101"/>
        <v>0</v>
      </c>
      <c r="Y324" s="47">
        <v>0</v>
      </c>
      <c r="Z324" s="88">
        <f t="shared" si="102"/>
        <v>0</v>
      </c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</row>
    <row r="325" spans="1:87" s="3" customFormat="1" ht="40.5">
      <c r="A325" s="389" t="s">
        <v>55</v>
      </c>
      <c r="B325" s="842"/>
      <c r="C325" s="842"/>
      <c r="D325" s="842"/>
      <c r="E325" s="842"/>
      <c r="F325" s="842"/>
      <c r="G325" s="842"/>
      <c r="H325" s="842"/>
      <c r="I325" s="798"/>
      <c r="J325" s="385">
        <v>651960</v>
      </c>
      <c r="K325" s="386">
        <v>520400</v>
      </c>
      <c r="L325" s="386"/>
      <c r="M325" s="59"/>
      <c r="N325" s="627" t="s">
        <v>243</v>
      </c>
      <c r="O325" s="29">
        <v>1596</v>
      </c>
      <c r="P325" s="29">
        <v>347.312030075188</v>
      </c>
      <c r="Q325" s="29">
        <v>554310</v>
      </c>
      <c r="R325" s="57">
        <v>554310</v>
      </c>
      <c r="S325" s="57">
        <v>554310</v>
      </c>
      <c r="T325" s="57">
        <v>554310</v>
      </c>
      <c r="U325" s="47">
        <v>277155</v>
      </c>
      <c r="V325" s="47">
        <f t="shared" si="100"/>
        <v>277155</v>
      </c>
      <c r="W325" s="47">
        <v>0</v>
      </c>
      <c r="X325" s="47">
        <f t="shared" si="101"/>
        <v>0</v>
      </c>
      <c r="Y325" s="47">
        <v>0</v>
      </c>
      <c r="Z325" s="88">
        <f t="shared" si="102"/>
        <v>0</v>
      </c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</row>
    <row r="326" spans="1:87" s="3" customFormat="1" ht="63.75" customHeight="1">
      <c r="A326" s="389" t="s">
        <v>33</v>
      </c>
      <c r="B326" s="842"/>
      <c r="C326" s="842"/>
      <c r="D326" s="842"/>
      <c r="E326" s="842"/>
      <c r="F326" s="842"/>
      <c r="G326" s="842"/>
      <c r="H326" s="842"/>
      <c r="I326" s="798"/>
      <c r="J326" s="385">
        <v>127339</v>
      </c>
      <c r="K326" s="386">
        <v>135750</v>
      </c>
      <c r="L326" s="386"/>
      <c r="M326" s="387"/>
      <c r="N326" s="597" t="s">
        <v>243</v>
      </c>
      <c r="O326" s="29">
        <v>372</v>
      </c>
      <c r="P326" s="29">
        <v>364.9</v>
      </c>
      <c r="Q326" s="29">
        <v>135750</v>
      </c>
      <c r="R326" s="57">
        <v>135750</v>
      </c>
      <c r="S326" s="29">
        <v>135750</v>
      </c>
      <c r="T326" s="29">
        <v>135750</v>
      </c>
      <c r="U326" s="47">
        <v>67875</v>
      </c>
      <c r="V326" s="47">
        <f t="shared" si="100"/>
        <v>67875</v>
      </c>
      <c r="W326" s="47">
        <v>0</v>
      </c>
      <c r="X326" s="47">
        <f t="shared" si="101"/>
        <v>0</v>
      </c>
      <c r="Y326" s="47">
        <v>0</v>
      </c>
      <c r="Z326" s="88">
        <f t="shared" si="102"/>
        <v>0</v>
      </c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</row>
    <row r="327" spans="1:87" s="3" customFormat="1" ht="76.5" customHeight="1">
      <c r="A327" s="384" t="s">
        <v>34</v>
      </c>
      <c r="B327" s="842"/>
      <c r="C327" s="842"/>
      <c r="D327" s="842"/>
      <c r="E327" s="842"/>
      <c r="F327" s="842"/>
      <c r="G327" s="842"/>
      <c r="H327" s="842"/>
      <c r="I327" s="798"/>
      <c r="J327" s="385">
        <v>266677</v>
      </c>
      <c r="K327" s="386">
        <v>270780</v>
      </c>
      <c r="L327" s="386"/>
      <c r="M327" s="387"/>
      <c r="N327" s="597" t="s">
        <v>242</v>
      </c>
      <c r="O327" s="29">
        <v>756</v>
      </c>
      <c r="P327" s="29">
        <v>366.4</v>
      </c>
      <c r="Q327" s="29">
        <v>274920</v>
      </c>
      <c r="R327" s="57">
        <v>274920</v>
      </c>
      <c r="S327" s="57">
        <v>274920</v>
      </c>
      <c r="T327" s="57">
        <v>274920</v>
      </c>
      <c r="U327" s="47">
        <v>137460</v>
      </c>
      <c r="V327" s="47">
        <f t="shared" si="100"/>
        <v>137460</v>
      </c>
      <c r="W327" s="47">
        <v>0</v>
      </c>
      <c r="X327" s="47">
        <f t="shared" si="101"/>
        <v>0</v>
      </c>
      <c r="Y327" s="47">
        <v>0</v>
      </c>
      <c r="Z327" s="88">
        <f t="shared" si="102"/>
        <v>0</v>
      </c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</row>
    <row r="328" spans="1:87" s="3" customFormat="1" ht="53.25" customHeight="1">
      <c r="A328" s="396" t="s">
        <v>35</v>
      </c>
      <c r="B328" s="842"/>
      <c r="C328" s="842"/>
      <c r="D328" s="842"/>
      <c r="E328" s="842"/>
      <c r="F328" s="842"/>
      <c r="G328" s="842"/>
      <c r="H328" s="842"/>
      <c r="I328" s="798"/>
      <c r="J328" s="385">
        <v>199002.3</v>
      </c>
      <c r="K328" s="386">
        <v>243225.6</v>
      </c>
      <c r="L328" s="386"/>
      <c r="M328" s="395"/>
      <c r="N328" s="597" t="s">
        <v>242</v>
      </c>
      <c r="O328" s="29">
        <v>761</v>
      </c>
      <c r="P328" s="29">
        <v>394.38</v>
      </c>
      <c r="Q328" s="29">
        <v>300125</v>
      </c>
      <c r="R328" s="57">
        <v>300125</v>
      </c>
      <c r="S328" s="29">
        <v>300125</v>
      </c>
      <c r="T328" s="29">
        <v>300125</v>
      </c>
      <c r="U328" s="47">
        <v>150063</v>
      </c>
      <c r="V328" s="47">
        <f t="shared" si="100"/>
        <v>150063</v>
      </c>
      <c r="W328" s="47">
        <v>0</v>
      </c>
      <c r="X328" s="47">
        <f t="shared" si="101"/>
        <v>0</v>
      </c>
      <c r="Y328" s="47">
        <v>0</v>
      </c>
      <c r="Z328" s="88">
        <f t="shared" si="102"/>
        <v>0</v>
      </c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</row>
    <row r="329" spans="1:87" s="3" customFormat="1" ht="71.25" customHeight="1">
      <c r="A329" s="384" t="s">
        <v>36</v>
      </c>
      <c r="B329" s="842"/>
      <c r="C329" s="842"/>
      <c r="D329" s="842"/>
      <c r="E329" s="842"/>
      <c r="F329" s="842"/>
      <c r="G329" s="842"/>
      <c r="H329" s="842"/>
      <c r="I329" s="798"/>
      <c r="J329" s="385">
        <v>531469.1</v>
      </c>
      <c r="K329" s="386">
        <v>610265</v>
      </c>
      <c r="L329" s="386"/>
      <c r="M329" s="397"/>
      <c r="N329" s="597" t="s">
        <v>242</v>
      </c>
      <c r="O329" s="29">
        <v>1596</v>
      </c>
      <c r="P329" s="29">
        <v>358.8</v>
      </c>
      <c r="Q329" s="29">
        <v>572615</v>
      </c>
      <c r="R329" s="57">
        <v>572615</v>
      </c>
      <c r="S329" s="29">
        <v>572615</v>
      </c>
      <c r="T329" s="29">
        <v>572615</v>
      </c>
      <c r="U329" s="47">
        <v>286308</v>
      </c>
      <c r="V329" s="47">
        <f t="shared" si="100"/>
        <v>286308</v>
      </c>
      <c r="W329" s="47">
        <v>0</v>
      </c>
      <c r="X329" s="47">
        <f t="shared" si="101"/>
        <v>0</v>
      </c>
      <c r="Y329" s="47">
        <v>0</v>
      </c>
      <c r="Z329" s="88">
        <f t="shared" si="102"/>
        <v>0</v>
      </c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</row>
    <row r="330" spans="1:87" s="3" customFormat="1" ht="72.75" customHeight="1">
      <c r="A330" s="389" t="s">
        <v>57</v>
      </c>
      <c r="B330" s="842"/>
      <c r="C330" s="842"/>
      <c r="D330" s="842"/>
      <c r="E330" s="842"/>
      <c r="F330" s="842"/>
      <c r="G330" s="842"/>
      <c r="H330" s="842"/>
      <c r="I330" s="798"/>
      <c r="J330" s="385">
        <v>234377</v>
      </c>
      <c r="K330" s="363">
        <v>252000</v>
      </c>
      <c r="L330" s="362"/>
      <c r="M330" s="390"/>
      <c r="N330" s="627" t="s">
        <v>243</v>
      </c>
      <c r="O330" s="29">
        <v>754</v>
      </c>
      <c r="P330" s="29">
        <v>359.9</v>
      </c>
      <c r="Q330" s="29">
        <v>271390</v>
      </c>
      <c r="R330" s="57">
        <v>271390</v>
      </c>
      <c r="S330" s="29">
        <v>271390</v>
      </c>
      <c r="T330" s="29">
        <v>271390</v>
      </c>
      <c r="U330" s="47">
        <v>135695</v>
      </c>
      <c r="V330" s="47">
        <f t="shared" si="100"/>
        <v>135695</v>
      </c>
      <c r="W330" s="47">
        <v>0</v>
      </c>
      <c r="X330" s="47">
        <f t="shared" si="101"/>
        <v>0</v>
      </c>
      <c r="Y330" s="47">
        <v>0</v>
      </c>
      <c r="Z330" s="88">
        <f t="shared" si="102"/>
        <v>0</v>
      </c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</row>
    <row r="331" spans="1:87" s="3" customFormat="1" ht="72.75" customHeight="1">
      <c r="A331" s="384" t="s">
        <v>37</v>
      </c>
      <c r="B331" s="842"/>
      <c r="C331" s="842"/>
      <c r="D331" s="842"/>
      <c r="E331" s="842"/>
      <c r="F331" s="842"/>
      <c r="G331" s="842"/>
      <c r="H331" s="842"/>
      <c r="I331" s="798"/>
      <c r="J331" s="385">
        <v>429246</v>
      </c>
      <c r="K331" s="363">
        <v>425075</v>
      </c>
      <c r="L331" s="386"/>
      <c r="M331" s="363"/>
      <c r="N331" s="627" t="s">
        <v>243</v>
      </c>
      <c r="O331" s="29">
        <v>1396</v>
      </c>
      <c r="P331" s="29">
        <v>357.73638</v>
      </c>
      <c r="Q331" s="29">
        <f>O331*P331</f>
        <v>499399.98648</v>
      </c>
      <c r="R331" s="57">
        <v>499400</v>
      </c>
      <c r="S331" s="29">
        <v>499400</v>
      </c>
      <c r="T331" s="29">
        <v>499400</v>
      </c>
      <c r="U331" s="47">
        <v>249700</v>
      </c>
      <c r="V331" s="47">
        <f t="shared" si="100"/>
        <v>249700</v>
      </c>
      <c r="W331" s="47">
        <v>0</v>
      </c>
      <c r="X331" s="47">
        <f t="shared" si="101"/>
        <v>0</v>
      </c>
      <c r="Y331" s="47">
        <v>0</v>
      </c>
      <c r="Z331" s="88">
        <f t="shared" si="102"/>
        <v>0</v>
      </c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</row>
    <row r="332" spans="1:87" s="3" customFormat="1" ht="72.75" customHeight="1">
      <c r="A332" s="389" t="s">
        <v>46</v>
      </c>
      <c r="B332" s="842"/>
      <c r="C332" s="842"/>
      <c r="D332" s="842"/>
      <c r="E332" s="842"/>
      <c r="F332" s="842"/>
      <c r="G332" s="842"/>
      <c r="H332" s="842"/>
      <c r="I332" s="798"/>
      <c r="J332" s="385">
        <v>2315962.94</v>
      </c>
      <c r="K332" s="386">
        <v>2296550</v>
      </c>
      <c r="L332" s="386"/>
      <c r="M332" s="387"/>
      <c r="N332" s="627" t="s">
        <v>243</v>
      </c>
      <c r="O332" s="29">
        <v>6257</v>
      </c>
      <c r="P332" s="29">
        <v>367.04</v>
      </c>
      <c r="Q332" s="29">
        <v>2296550</v>
      </c>
      <c r="R332" s="57">
        <v>2296550</v>
      </c>
      <c r="S332" s="57">
        <v>2296550</v>
      </c>
      <c r="T332" s="57">
        <v>2296550</v>
      </c>
      <c r="U332" s="47">
        <v>1148275</v>
      </c>
      <c r="V332" s="47">
        <f t="shared" si="100"/>
        <v>1148275</v>
      </c>
      <c r="W332" s="47">
        <v>0</v>
      </c>
      <c r="X332" s="47">
        <f t="shared" si="101"/>
        <v>0</v>
      </c>
      <c r="Y332" s="47">
        <v>0</v>
      </c>
      <c r="Z332" s="88">
        <f t="shared" si="102"/>
        <v>0</v>
      </c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</row>
    <row r="333" spans="1:87" s="3" customFormat="1" ht="56.25" customHeight="1">
      <c r="A333" s="396" t="s">
        <v>38</v>
      </c>
      <c r="B333" s="842"/>
      <c r="C333" s="842"/>
      <c r="D333" s="842"/>
      <c r="E333" s="842"/>
      <c r="F333" s="842"/>
      <c r="G333" s="842"/>
      <c r="H333" s="842"/>
      <c r="I333" s="798"/>
      <c r="J333" s="385">
        <v>769648.78</v>
      </c>
      <c r="K333" s="386">
        <v>795240</v>
      </c>
      <c r="L333" s="386"/>
      <c r="M333" s="395"/>
      <c r="N333" s="627" t="s">
        <v>243</v>
      </c>
      <c r="O333" s="29">
        <v>2076</v>
      </c>
      <c r="P333" s="29">
        <v>365</v>
      </c>
      <c r="Q333" s="29">
        <v>757800</v>
      </c>
      <c r="R333" s="29">
        <v>757800</v>
      </c>
      <c r="S333" s="29">
        <v>757800</v>
      </c>
      <c r="T333" s="29">
        <v>757800</v>
      </c>
      <c r="U333" s="47">
        <v>378900</v>
      </c>
      <c r="V333" s="47">
        <f t="shared" si="100"/>
        <v>378900</v>
      </c>
      <c r="W333" s="47">
        <v>0</v>
      </c>
      <c r="X333" s="47">
        <f t="shared" si="101"/>
        <v>0</v>
      </c>
      <c r="Y333" s="47">
        <v>0</v>
      </c>
      <c r="Z333" s="88">
        <f t="shared" si="102"/>
        <v>0</v>
      </c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</row>
    <row r="334" spans="1:87" s="3" customFormat="1" ht="83.25" customHeight="1">
      <c r="A334" s="384" t="s">
        <v>41</v>
      </c>
      <c r="B334" s="842"/>
      <c r="C334" s="842"/>
      <c r="D334" s="842"/>
      <c r="E334" s="842"/>
      <c r="F334" s="842"/>
      <c r="G334" s="842"/>
      <c r="H334" s="842"/>
      <c r="I334" s="798"/>
      <c r="J334" s="385">
        <v>657755.86</v>
      </c>
      <c r="K334" s="386">
        <v>885900</v>
      </c>
      <c r="L334" s="386"/>
      <c r="M334" s="395"/>
      <c r="N334" s="627" t="s">
        <v>243</v>
      </c>
      <c r="O334" s="29">
        <v>2433</v>
      </c>
      <c r="P334" s="29">
        <v>367.4907</v>
      </c>
      <c r="Q334" s="29">
        <v>894105</v>
      </c>
      <c r="R334" s="29">
        <v>894105</v>
      </c>
      <c r="S334" s="29">
        <v>894105</v>
      </c>
      <c r="T334" s="29">
        <v>894105</v>
      </c>
      <c r="U334" s="47">
        <v>447052</v>
      </c>
      <c r="V334" s="47">
        <f t="shared" si="100"/>
        <v>447052</v>
      </c>
      <c r="W334" s="47">
        <v>0</v>
      </c>
      <c r="X334" s="47">
        <f t="shared" si="101"/>
        <v>0</v>
      </c>
      <c r="Y334" s="47">
        <v>0</v>
      </c>
      <c r="Z334" s="88">
        <f t="shared" si="102"/>
        <v>0</v>
      </c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</row>
    <row r="335" spans="1:87" s="3" customFormat="1" ht="62.25" customHeight="1">
      <c r="A335" s="384" t="s">
        <v>40</v>
      </c>
      <c r="B335" s="842"/>
      <c r="C335" s="842"/>
      <c r="D335" s="842"/>
      <c r="E335" s="842"/>
      <c r="F335" s="842"/>
      <c r="G335" s="842"/>
      <c r="H335" s="842"/>
      <c r="I335" s="798"/>
      <c r="J335" s="385">
        <v>142723</v>
      </c>
      <c r="K335" s="363">
        <v>140200</v>
      </c>
      <c r="L335" s="362"/>
      <c r="M335" s="59"/>
      <c r="N335" s="627" t="s">
        <v>243</v>
      </c>
      <c r="O335" s="29">
        <v>362</v>
      </c>
      <c r="P335" s="29">
        <v>382.9</v>
      </c>
      <c r="Q335" s="29">
        <v>138600</v>
      </c>
      <c r="R335" s="57">
        <v>138600</v>
      </c>
      <c r="S335" s="29">
        <v>138600</v>
      </c>
      <c r="T335" s="29">
        <v>138600</v>
      </c>
      <c r="U335" s="47">
        <v>69300</v>
      </c>
      <c r="V335" s="47">
        <f t="shared" si="100"/>
        <v>69300</v>
      </c>
      <c r="W335" s="47">
        <v>0</v>
      </c>
      <c r="X335" s="47">
        <f t="shared" si="101"/>
        <v>0</v>
      </c>
      <c r="Y335" s="47">
        <v>0</v>
      </c>
      <c r="Z335" s="88">
        <f t="shared" si="102"/>
        <v>0</v>
      </c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</row>
    <row r="336" spans="1:87" s="3" customFormat="1" ht="81" customHeight="1">
      <c r="A336" s="384" t="s">
        <v>42</v>
      </c>
      <c r="B336" s="842"/>
      <c r="C336" s="842"/>
      <c r="D336" s="842"/>
      <c r="E336" s="842"/>
      <c r="F336" s="842"/>
      <c r="G336" s="842"/>
      <c r="H336" s="842"/>
      <c r="I336" s="798"/>
      <c r="J336" s="385">
        <v>297968.96</v>
      </c>
      <c r="K336" s="386">
        <v>309360</v>
      </c>
      <c r="L336" s="386"/>
      <c r="M336" s="387"/>
      <c r="N336" s="627" t="s">
        <v>243</v>
      </c>
      <c r="O336" s="29">
        <v>816</v>
      </c>
      <c r="P336" s="29">
        <f>Q336/O336</f>
        <v>361.3235294117647</v>
      </c>
      <c r="Q336" s="29">
        <v>294840</v>
      </c>
      <c r="R336" s="57">
        <v>294840</v>
      </c>
      <c r="S336" s="29">
        <v>294840</v>
      </c>
      <c r="T336" s="29">
        <v>294840</v>
      </c>
      <c r="U336" s="47">
        <v>147420</v>
      </c>
      <c r="V336" s="47">
        <f t="shared" si="100"/>
        <v>147420</v>
      </c>
      <c r="W336" s="47">
        <v>0</v>
      </c>
      <c r="X336" s="47">
        <f t="shared" si="101"/>
        <v>0</v>
      </c>
      <c r="Y336" s="47">
        <v>0</v>
      </c>
      <c r="Z336" s="88">
        <f t="shared" si="102"/>
        <v>0</v>
      </c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</row>
    <row r="337" spans="1:87" s="3" customFormat="1" ht="87.75" customHeight="1">
      <c r="A337" s="398" t="s">
        <v>43</v>
      </c>
      <c r="B337" s="842"/>
      <c r="C337" s="842"/>
      <c r="D337" s="842"/>
      <c r="E337" s="842"/>
      <c r="F337" s="842"/>
      <c r="G337" s="842"/>
      <c r="H337" s="842"/>
      <c r="I337" s="798"/>
      <c r="J337" s="385">
        <v>785953</v>
      </c>
      <c r="K337" s="386">
        <v>847740</v>
      </c>
      <c r="L337" s="386"/>
      <c r="M337" s="395"/>
      <c r="N337" s="627" t="s">
        <v>243</v>
      </c>
      <c r="O337" s="29">
        <v>2257</v>
      </c>
      <c r="P337" s="29">
        <v>367.667257</v>
      </c>
      <c r="Q337" s="29">
        <f>O337*P337</f>
        <v>829824.999049</v>
      </c>
      <c r="R337" s="57">
        <v>829825</v>
      </c>
      <c r="S337" s="29">
        <v>829825</v>
      </c>
      <c r="T337" s="29">
        <v>829825</v>
      </c>
      <c r="U337" s="47">
        <v>414912</v>
      </c>
      <c r="V337" s="47">
        <f t="shared" si="100"/>
        <v>414912</v>
      </c>
      <c r="W337" s="47">
        <v>0</v>
      </c>
      <c r="X337" s="47">
        <f t="shared" si="101"/>
        <v>0</v>
      </c>
      <c r="Y337" s="47">
        <v>0</v>
      </c>
      <c r="Z337" s="88">
        <f t="shared" si="102"/>
        <v>0</v>
      </c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</row>
    <row r="338" spans="1:87" s="3" customFormat="1" ht="73.5" customHeight="1">
      <c r="A338" s="384" t="s">
        <v>44</v>
      </c>
      <c r="B338" s="842"/>
      <c r="C338" s="842"/>
      <c r="D338" s="842"/>
      <c r="E338" s="842"/>
      <c r="F338" s="842"/>
      <c r="G338" s="842"/>
      <c r="H338" s="842"/>
      <c r="I338" s="798"/>
      <c r="J338" s="385">
        <v>111591.1</v>
      </c>
      <c r="K338" s="363">
        <v>138733.155</v>
      </c>
      <c r="L338" s="362"/>
      <c r="M338" s="393"/>
      <c r="N338" s="597" t="s">
        <v>243</v>
      </c>
      <c r="O338" s="29">
        <v>420</v>
      </c>
      <c r="P338" s="29">
        <v>406.37</v>
      </c>
      <c r="Q338" s="29">
        <v>170675</v>
      </c>
      <c r="R338" s="57">
        <v>170675</v>
      </c>
      <c r="S338" s="29">
        <v>170675</v>
      </c>
      <c r="T338" s="29">
        <v>170675</v>
      </c>
      <c r="U338" s="47">
        <v>85338</v>
      </c>
      <c r="V338" s="47">
        <f t="shared" si="100"/>
        <v>85338</v>
      </c>
      <c r="W338" s="47">
        <v>0</v>
      </c>
      <c r="X338" s="47">
        <f t="shared" si="101"/>
        <v>0</v>
      </c>
      <c r="Y338" s="47">
        <v>0</v>
      </c>
      <c r="Z338" s="88">
        <f t="shared" si="102"/>
        <v>0</v>
      </c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</row>
    <row r="339" spans="1:87" s="3" customFormat="1" ht="81" customHeight="1">
      <c r="A339" s="384" t="s">
        <v>45</v>
      </c>
      <c r="B339" s="842"/>
      <c r="C339" s="842"/>
      <c r="D339" s="842"/>
      <c r="E339" s="842"/>
      <c r="F339" s="842"/>
      <c r="G339" s="842"/>
      <c r="H339" s="842"/>
      <c r="I339" s="798"/>
      <c r="J339" s="385">
        <v>189563</v>
      </c>
      <c r="K339" s="386">
        <v>221190</v>
      </c>
      <c r="L339" s="386"/>
      <c r="M339" s="387"/>
      <c r="N339" s="597" t="s">
        <v>243</v>
      </c>
      <c r="O339" s="29">
        <v>632</v>
      </c>
      <c r="P339" s="29">
        <v>370.5</v>
      </c>
      <c r="Q339" s="29">
        <v>234150</v>
      </c>
      <c r="R339" s="57">
        <v>234150</v>
      </c>
      <c r="S339" s="29">
        <v>234150</v>
      </c>
      <c r="T339" s="29">
        <v>234150</v>
      </c>
      <c r="U339" s="47">
        <v>117075</v>
      </c>
      <c r="V339" s="47">
        <f t="shared" si="100"/>
        <v>117075</v>
      </c>
      <c r="W339" s="47">
        <v>0</v>
      </c>
      <c r="X339" s="47">
        <f t="shared" si="101"/>
        <v>0</v>
      </c>
      <c r="Y339" s="47">
        <v>0</v>
      </c>
      <c r="Z339" s="88">
        <f t="shared" si="102"/>
        <v>0</v>
      </c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</row>
    <row r="340" spans="1:87" s="3" customFormat="1" ht="96" customHeight="1">
      <c r="A340" s="384" t="s">
        <v>59</v>
      </c>
      <c r="B340" s="842"/>
      <c r="C340" s="842"/>
      <c r="D340" s="842"/>
      <c r="E340" s="842"/>
      <c r="F340" s="842"/>
      <c r="G340" s="842"/>
      <c r="H340" s="842"/>
      <c r="I340" s="798"/>
      <c r="J340" s="385"/>
      <c r="K340" s="386">
        <v>2172205.8</v>
      </c>
      <c r="L340" s="386"/>
      <c r="M340" s="399"/>
      <c r="N340" s="597"/>
      <c r="O340" s="29"/>
      <c r="P340" s="29"/>
      <c r="Q340" s="29"/>
      <c r="R340" s="57"/>
      <c r="S340" s="29"/>
      <c r="T340" s="29"/>
      <c r="U340" s="47">
        <v>0</v>
      </c>
      <c r="V340" s="47">
        <f t="shared" si="100"/>
        <v>0</v>
      </c>
      <c r="W340" s="47">
        <v>2559600</v>
      </c>
      <c r="X340" s="47">
        <v>2559600</v>
      </c>
      <c r="Y340" s="47">
        <v>2020000</v>
      </c>
      <c r="Z340" s="88">
        <f t="shared" si="102"/>
        <v>2020000</v>
      </c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</row>
    <row r="341" spans="1:87" s="3" customFormat="1" ht="214.5" customHeight="1">
      <c r="A341" s="427" t="s">
        <v>754</v>
      </c>
      <c r="B341" s="217">
        <v>811</v>
      </c>
      <c r="C341" s="759" t="s">
        <v>20</v>
      </c>
      <c r="D341" s="217" t="s">
        <v>755</v>
      </c>
      <c r="E341" s="217">
        <v>612</v>
      </c>
      <c r="F341" s="217"/>
      <c r="G341" s="759" t="s">
        <v>490</v>
      </c>
      <c r="H341" s="217">
        <v>1111</v>
      </c>
      <c r="I341" s="216" t="s">
        <v>759</v>
      </c>
      <c r="J341" s="772"/>
      <c r="K341" s="373"/>
      <c r="L341" s="373"/>
      <c r="M341" s="773"/>
      <c r="N341" s="774"/>
      <c r="O341" s="775"/>
      <c r="P341" s="775"/>
      <c r="Q341" s="775"/>
      <c r="R341" s="776"/>
      <c r="S341" s="775"/>
      <c r="T341" s="775"/>
      <c r="U341" s="92">
        <f aca="true" t="shared" si="103" ref="U341:Z341">U342</f>
        <v>4326500</v>
      </c>
      <c r="V341" s="92">
        <f t="shared" si="103"/>
        <v>4326500</v>
      </c>
      <c r="W341" s="92">
        <f t="shared" si="103"/>
        <v>0</v>
      </c>
      <c r="X341" s="92">
        <f t="shared" si="103"/>
        <v>0</v>
      </c>
      <c r="Y341" s="92">
        <f t="shared" si="103"/>
        <v>0</v>
      </c>
      <c r="Z341" s="92">
        <f t="shared" si="103"/>
        <v>0</v>
      </c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</row>
    <row r="342" spans="1:87" s="3" customFormat="1" ht="73.5" customHeight="1">
      <c r="A342" s="384" t="s">
        <v>59</v>
      </c>
      <c r="B342" s="777"/>
      <c r="C342" s="778"/>
      <c r="D342" s="778"/>
      <c r="E342" s="778"/>
      <c r="F342" s="778"/>
      <c r="G342" s="778"/>
      <c r="H342" s="779"/>
      <c r="I342" s="72"/>
      <c r="J342" s="385"/>
      <c r="K342" s="386"/>
      <c r="L342" s="386"/>
      <c r="M342" s="399"/>
      <c r="N342" s="597"/>
      <c r="O342" s="29"/>
      <c r="P342" s="29"/>
      <c r="Q342" s="29"/>
      <c r="R342" s="57"/>
      <c r="S342" s="29"/>
      <c r="T342" s="29"/>
      <c r="U342" s="47">
        <v>4326500</v>
      </c>
      <c r="V342" s="47">
        <v>4326500</v>
      </c>
      <c r="W342" s="47">
        <v>0</v>
      </c>
      <c r="X342" s="47">
        <v>0</v>
      </c>
      <c r="Y342" s="47">
        <v>0</v>
      </c>
      <c r="Z342" s="88">
        <v>0</v>
      </c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</row>
    <row r="343" spans="1:87" s="3" customFormat="1" ht="212.25" customHeight="1">
      <c r="A343" s="427" t="s">
        <v>756</v>
      </c>
      <c r="B343" s="759" t="s">
        <v>6</v>
      </c>
      <c r="C343" s="759" t="s">
        <v>103</v>
      </c>
      <c r="D343" s="759" t="s">
        <v>757</v>
      </c>
      <c r="E343" s="759" t="s">
        <v>8</v>
      </c>
      <c r="F343" s="759"/>
      <c r="G343" s="759" t="s">
        <v>758</v>
      </c>
      <c r="H343" s="759" t="s">
        <v>9</v>
      </c>
      <c r="I343" s="216" t="s">
        <v>724</v>
      </c>
      <c r="J343" s="772"/>
      <c r="K343" s="373"/>
      <c r="L343" s="373"/>
      <c r="M343" s="773"/>
      <c r="N343" s="774"/>
      <c r="O343" s="775"/>
      <c r="P343" s="775"/>
      <c r="Q343" s="775"/>
      <c r="R343" s="776"/>
      <c r="S343" s="775"/>
      <c r="T343" s="775"/>
      <c r="U343" s="92">
        <f aca="true" t="shared" si="104" ref="U343:Z343">SUM(U344:U354)</f>
        <v>500000</v>
      </c>
      <c r="V343" s="92">
        <f t="shared" si="104"/>
        <v>500000</v>
      </c>
      <c r="W343" s="92">
        <f t="shared" si="104"/>
        <v>0</v>
      </c>
      <c r="X343" s="92">
        <f t="shared" si="104"/>
        <v>0</v>
      </c>
      <c r="Y343" s="92">
        <f t="shared" si="104"/>
        <v>0</v>
      </c>
      <c r="Z343" s="92">
        <f t="shared" si="104"/>
        <v>0</v>
      </c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</row>
    <row r="344" spans="1:87" s="3" customFormat="1" ht="30" customHeight="1">
      <c r="A344" s="913" t="s">
        <v>539</v>
      </c>
      <c r="B344" s="916"/>
      <c r="C344" s="917"/>
      <c r="D344" s="917"/>
      <c r="E344" s="917"/>
      <c r="F344" s="917"/>
      <c r="G344" s="917"/>
      <c r="H344" s="918"/>
      <c r="I344" s="910"/>
      <c r="J344" s="385"/>
      <c r="K344" s="386"/>
      <c r="L344" s="386"/>
      <c r="M344" s="394" t="s">
        <v>760</v>
      </c>
      <c r="N344" s="597"/>
      <c r="O344" s="29"/>
      <c r="P344" s="29"/>
      <c r="Q344" s="29"/>
      <c r="R344" s="57"/>
      <c r="S344" s="29"/>
      <c r="T344" s="29"/>
      <c r="U344" s="47">
        <v>9440</v>
      </c>
      <c r="V344" s="47">
        <v>9440</v>
      </c>
      <c r="W344" s="47">
        <v>0</v>
      </c>
      <c r="X344" s="47">
        <v>0</v>
      </c>
      <c r="Y344" s="47">
        <v>0</v>
      </c>
      <c r="Z344" s="88">
        <v>0</v>
      </c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</row>
    <row r="345" spans="1:87" s="3" customFormat="1" ht="30" customHeight="1">
      <c r="A345" s="914"/>
      <c r="B345" s="919"/>
      <c r="C345" s="920"/>
      <c r="D345" s="920"/>
      <c r="E345" s="920"/>
      <c r="F345" s="920"/>
      <c r="G345" s="920"/>
      <c r="H345" s="921"/>
      <c r="I345" s="911"/>
      <c r="J345" s="385"/>
      <c r="K345" s="386"/>
      <c r="L345" s="386"/>
      <c r="M345" s="394" t="s">
        <v>761</v>
      </c>
      <c r="N345" s="597"/>
      <c r="O345" s="29"/>
      <c r="P345" s="29"/>
      <c r="Q345" s="29"/>
      <c r="R345" s="57"/>
      <c r="S345" s="29"/>
      <c r="T345" s="29"/>
      <c r="U345" s="47">
        <v>22977</v>
      </c>
      <c r="V345" s="47">
        <f>U345</f>
        <v>22977</v>
      </c>
      <c r="W345" s="47">
        <v>0</v>
      </c>
      <c r="X345" s="47">
        <v>0</v>
      </c>
      <c r="Y345" s="47">
        <v>0</v>
      </c>
      <c r="Z345" s="88">
        <v>0</v>
      </c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</row>
    <row r="346" spans="1:87" s="3" customFormat="1" ht="45.75" customHeight="1">
      <c r="A346" s="914"/>
      <c r="B346" s="919"/>
      <c r="C346" s="920"/>
      <c r="D346" s="920"/>
      <c r="E346" s="920"/>
      <c r="F346" s="920"/>
      <c r="G346" s="920"/>
      <c r="H346" s="921"/>
      <c r="I346" s="911"/>
      <c r="J346" s="385"/>
      <c r="K346" s="386"/>
      <c r="L346" s="386"/>
      <c r="M346" s="394" t="s">
        <v>762</v>
      </c>
      <c r="N346" s="597"/>
      <c r="O346" s="29"/>
      <c r="P346" s="29"/>
      <c r="Q346" s="29"/>
      <c r="R346" s="57"/>
      <c r="S346" s="29"/>
      <c r="T346" s="29"/>
      <c r="U346" s="47">
        <v>40324.8</v>
      </c>
      <c r="V346" s="47">
        <f aca="true" t="shared" si="105" ref="V346:V354">U346</f>
        <v>40324.8</v>
      </c>
      <c r="W346" s="47">
        <v>0</v>
      </c>
      <c r="X346" s="47">
        <v>0</v>
      </c>
      <c r="Y346" s="47">
        <v>0</v>
      </c>
      <c r="Z346" s="88">
        <v>0</v>
      </c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</row>
    <row r="347" spans="1:87" s="3" customFormat="1" ht="30" customHeight="1">
      <c r="A347" s="914"/>
      <c r="B347" s="919"/>
      <c r="C347" s="920"/>
      <c r="D347" s="920"/>
      <c r="E347" s="920"/>
      <c r="F347" s="920"/>
      <c r="G347" s="920"/>
      <c r="H347" s="921"/>
      <c r="I347" s="911"/>
      <c r="J347" s="385"/>
      <c r="K347" s="386"/>
      <c r="L347" s="386"/>
      <c r="M347" s="394" t="s">
        <v>763</v>
      </c>
      <c r="N347" s="597"/>
      <c r="O347" s="29"/>
      <c r="P347" s="29"/>
      <c r="Q347" s="29"/>
      <c r="R347" s="57"/>
      <c r="S347" s="29"/>
      <c r="T347" s="29"/>
      <c r="U347" s="47">
        <v>26400</v>
      </c>
      <c r="V347" s="47">
        <f t="shared" si="105"/>
        <v>26400</v>
      </c>
      <c r="W347" s="47">
        <v>0</v>
      </c>
      <c r="X347" s="47">
        <v>0</v>
      </c>
      <c r="Y347" s="47">
        <v>0</v>
      </c>
      <c r="Z347" s="88">
        <v>0</v>
      </c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</row>
    <row r="348" spans="1:87" s="3" customFormat="1" ht="45.75" customHeight="1">
      <c r="A348" s="914"/>
      <c r="B348" s="919"/>
      <c r="C348" s="920"/>
      <c r="D348" s="920"/>
      <c r="E348" s="920"/>
      <c r="F348" s="920"/>
      <c r="G348" s="920"/>
      <c r="H348" s="921"/>
      <c r="I348" s="911"/>
      <c r="J348" s="385"/>
      <c r="K348" s="386"/>
      <c r="L348" s="386"/>
      <c r="M348" s="394" t="s">
        <v>764</v>
      </c>
      <c r="N348" s="597"/>
      <c r="O348" s="29"/>
      <c r="P348" s="29"/>
      <c r="Q348" s="29"/>
      <c r="R348" s="57"/>
      <c r="S348" s="29"/>
      <c r="T348" s="29"/>
      <c r="U348" s="47">
        <v>38116.96</v>
      </c>
      <c r="V348" s="47">
        <f t="shared" si="105"/>
        <v>38116.96</v>
      </c>
      <c r="W348" s="47">
        <v>0</v>
      </c>
      <c r="X348" s="47">
        <v>0</v>
      </c>
      <c r="Y348" s="47">
        <v>0</v>
      </c>
      <c r="Z348" s="88">
        <v>0</v>
      </c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</row>
    <row r="349" spans="1:87" s="3" customFormat="1" ht="30" customHeight="1">
      <c r="A349" s="914"/>
      <c r="B349" s="919"/>
      <c r="C349" s="920"/>
      <c r="D349" s="920"/>
      <c r="E349" s="920"/>
      <c r="F349" s="920"/>
      <c r="G349" s="920"/>
      <c r="H349" s="921"/>
      <c r="I349" s="911"/>
      <c r="J349" s="385"/>
      <c r="K349" s="386"/>
      <c r="L349" s="386"/>
      <c r="M349" s="394" t="s">
        <v>765</v>
      </c>
      <c r="N349" s="597"/>
      <c r="O349" s="29"/>
      <c r="P349" s="29"/>
      <c r="Q349" s="29"/>
      <c r="R349" s="57"/>
      <c r="S349" s="29"/>
      <c r="T349" s="29"/>
      <c r="U349" s="47">
        <v>60477.98</v>
      </c>
      <c r="V349" s="47">
        <f t="shared" si="105"/>
        <v>60477.98</v>
      </c>
      <c r="W349" s="47">
        <v>0</v>
      </c>
      <c r="X349" s="47">
        <v>0</v>
      </c>
      <c r="Y349" s="47">
        <v>0</v>
      </c>
      <c r="Z349" s="88">
        <v>0</v>
      </c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</row>
    <row r="350" spans="1:87" s="3" customFormat="1" ht="30" customHeight="1">
      <c r="A350" s="914"/>
      <c r="B350" s="919"/>
      <c r="C350" s="920"/>
      <c r="D350" s="920"/>
      <c r="E350" s="920"/>
      <c r="F350" s="920"/>
      <c r="G350" s="920"/>
      <c r="H350" s="921"/>
      <c r="I350" s="911"/>
      <c r="J350" s="385"/>
      <c r="K350" s="386"/>
      <c r="L350" s="386"/>
      <c r="M350" s="394" t="s">
        <v>766</v>
      </c>
      <c r="N350" s="597"/>
      <c r="O350" s="29"/>
      <c r="P350" s="29"/>
      <c r="Q350" s="29"/>
      <c r="R350" s="57"/>
      <c r="S350" s="29"/>
      <c r="T350" s="29"/>
      <c r="U350" s="47">
        <v>10298.28</v>
      </c>
      <c r="V350" s="47">
        <f t="shared" si="105"/>
        <v>10298.28</v>
      </c>
      <c r="W350" s="47">
        <v>0</v>
      </c>
      <c r="X350" s="47">
        <v>0</v>
      </c>
      <c r="Y350" s="47">
        <v>0</v>
      </c>
      <c r="Z350" s="88">
        <v>0</v>
      </c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</row>
    <row r="351" spans="1:87" s="3" customFormat="1" ht="30" customHeight="1">
      <c r="A351" s="914"/>
      <c r="B351" s="919"/>
      <c r="C351" s="920"/>
      <c r="D351" s="920"/>
      <c r="E351" s="920"/>
      <c r="F351" s="920"/>
      <c r="G351" s="920"/>
      <c r="H351" s="921"/>
      <c r="I351" s="911"/>
      <c r="J351" s="385"/>
      <c r="K351" s="386"/>
      <c r="L351" s="386"/>
      <c r="M351" s="394" t="s">
        <v>767</v>
      </c>
      <c r="N351" s="597"/>
      <c r="O351" s="29"/>
      <c r="P351" s="29"/>
      <c r="Q351" s="29"/>
      <c r="R351" s="57"/>
      <c r="S351" s="29"/>
      <c r="T351" s="29"/>
      <c r="U351" s="47">
        <v>4900.5</v>
      </c>
      <c r="V351" s="47">
        <f t="shared" si="105"/>
        <v>4900.5</v>
      </c>
      <c r="W351" s="47">
        <v>0</v>
      </c>
      <c r="X351" s="47">
        <v>0</v>
      </c>
      <c r="Y351" s="47">
        <v>0</v>
      </c>
      <c r="Z351" s="88">
        <v>0</v>
      </c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</row>
    <row r="352" spans="1:87" s="3" customFormat="1" ht="30" customHeight="1">
      <c r="A352" s="914"/>
      <c r="B352" s="919"/>
      <c r="C352" s="920"/>
      <c r="D352" s="920"/>
      <c r="E352" s="920"/>
      <c r="F352" s="920"/>
      <c r="G352" s="920"/>
      <c r="H352" s="921"/>
      <c r="I352" s="911"/>
      <c r="J352" s="385"/>
      <c r="K352" s="386"/>
      <c r="L352" s="386"/>
      <c r="M352" s="394" t="s">
        <v>768</v>
      </c>
      <c r="N352" s="597"/>
      <c r="O352" s="29"/>
      <c r="P352" s="29"/>
      <c r="Q352" s="29"/>
      <c r="R352" s="57"/>
      <c r="S352" s="29"/>
      <c r="T352" s="29"/>
      <c r="U352" s="47">
        <v>60312</v>
      </c>
      <c r="V352" s="47">
        <f t="shared" si="105"/>
        <v>60312</v>
      </c>
      <c r="W352" s="47">
        <v>0</v>
      </c>
      <c r="X352" s="47">
        <v>0</v>
      </c>
      <c r="Y352" s="47">
        <v>0</v>
      </c>
      <c r="Z352" s="88">
        <v>0</v>
      </c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</row>
    <row r="353" spans="1:87" s="3" customFormat="1" ht="30" customHeight="1">
      <c r="A353" s="914"/>
      <c r="B353" s="919"/>
      <c r="C353" s="920"/>
      <c r="D353" s="920"/>
      <c r="E353" s="920"/>
      <c r="F353" s="920"/>
      <c r="G353" s="920"/>
      <c r="H353" s="921"/>
      <c r="I353" s="911"/>
      <c r="J353" s="385"/>
      <c r="K353" s="386"/>
      <c r="L353" s="386"/>
      <c r="M353" s="394" t="s">
        <v>769</v>
      </c>
      <c r="N353" s="597"/>
      <c r="O353" s="29"/>
      <c r="P353" s="29"/>
      <c r="Q353" s="29"/>
      <c r="R353" s="57"/>
      <c r="S353" s="29"/>
      <c r="T353" s="29"/>
      <c r="U353" s="47">
        <v>35502.48</v>
      </c>
      <c r="V353" s="47">
        <f t="shared" si="105"/>
        <v>35502.48</v>
      </c>
      <c r="W353" s="47">
        <v>0</v>
      </c>
      <c r="X353" s="47">
        <v>0</v>
      </c>
      <c r="Y353" s="47">
        <v>0</v>
      </c>
      <c r="Z353" s="88">
        <v>0</v>
      </c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</row>
    <row r="354" spans="1:87" s="3" customFormat="1" ht="30" customHeight="1">
      <c r="A354" s="915"/>
      <c r="B354" s="922"/>
      <c r="C354" s="923"/>
      <c r="D354" s="923"/>
      <c r="E354" s="923"/>
      <c r="F354" s="923"/>
      <c r="G354" s="923"/>
      <c r="H354" s="924"/>
      <c r="I354" s="912"/>
      <c r="J354" s="385"/>
      <c r="K354" s="386"/>
      <c r="L354" s="386"/>
      <c r="M354" s="394" t="s">
        <v>760</v>
      </c>
      <c r="N354" s="597"/>
      <c r="O354" s="29"/>
      <c r="P354" s="29"/>
      <c r="Q354" s="29"/>
      <c r="R354" s="57"/>
      <c r="S354" s="29"/>
      <c r="T354" s="29"/>
      <c r="U354" s="47">
        <v>191250</v>
      </c>
      <c r="V354" s="47">
        <f t="shared" si="105"/>
        <v>191250</v>
      </c>
      <c r="W354" s="47">
        <v>0</v>
      </c>
      <c r="X354" s="47">
        <v>0</v>
      </c>
      <c r="Y354" s="47">
        <v>0</v>
      </c>
      <c r="Z354" s="88">
        <v>0</v>
      </c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</row>
    <row r="355" spans="1:87" s="3" customFormat="1" ht="63.75" customHeight="1">
      <c r="A355" s="796" t="s">
        <v>126</v>
      </c>
      <c r="B355" s="796"/>
      <c r="C355" s="796"/>
      <c r="D355" s="796"/>
      <c r="E355" s="796"/>
      <c r="F355" s="796"/>
      <c r="G355" s="796"/>
      <c r="H355" s="796"/>
      <c r="I355" s="796"/>
      <c r="J355" s="796"/>
      <c r="K355" s="796"/>
      <c r="L355" s="796"/>
      <c r="M355" s="796"/>
      <c r="N355" s="628"/>
      <c r="O355" s="740"/>
      <c r="P355" s="740"/>
      <c r="Q355" s="400" t="e">
        <f aca="true" t="shared" si="106" ref="Q355:Z355">Q356</f>
        <v>#REF!</v>
      </c>
      <c r="R355" s="400" t="e">
        <f t="shared" si="106"/>
        <v>#REF!</v>
      </c>
      <c r="S355" s="400" t="e">
        <f t="shared" si="106"/>
        <v>#REF!</v>
      </c>
      <c r="T355" s="400" t="e">
        <f t="shared" si="106"/>
        <v>#REF!</v>
      </c>
      <c r="U355" s="114">
        <f t="shared" si="106"/>
        <v>4545756.75</v>
      </c>
      <c r="V355" s="114">
        <f t="shared" si="106"/>
        <v>4545756.75</v>
      </c>
      <c r="W355" s="114">
        <f t="shared" si="106"/>
        <v>0</v>
      </c>
      <c r="X355" s="114">
        <f t="shared" si="106"/>
        <v>0</v>
      </c>
      <c r="Y355" s="114">
        <f t="shared" si="106"/>
        <v>0</v>
      </c>
      <c r="Z355" s="114">
        <f t="shared" si="106"/>
        <v>0</v>
      </c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</row>
    <row r="356" spans="1:87" s="3" customFormat="1" ht="193.5" customHeight="1">
      <c r="A356" s="147" t="s">
        <v>127</v>
      </c>
      <c r="B356" s="746" t="s">
        <v>6</v>
      </c>
      <c r="C356" s="746" t="s">
        <v>128</v>
      </c>
      <c r="D356" s="746" t="s">
        <v>129</v>
      </c>
      <c r="E356" s="746" t="s">
        <v>8</v>
      </c>
      <c r="F356" s="746" t="s">
        <v>130</v>
      </c>
      <c r="G356" s="746" t="s">
        <v>495</v>
      </c>
      <c r="H356" s="746" t="s">
        <v>9</v>
      </c>
      <c r="I356" s="147" t="s">
        <v>131</v>
      </c>
      <c r="J356" s="747">
        <v>7661349.41</v>
      </c>
      <c r="K356" s="401">
        <v>6110301</v>
      </c>
      <c r="L356" s="148"/>
      <c r="M356" s="401"/>
      <c r="N356" s="401"/>
      <c r="O356" s="401"/>
      <c r="P356" s="401"/>
      <c r="Q356" s="177" t="e">
        <f aca="true" t="shared" si="107" ref="Q356:Z356">Q357+Q385+Q386+Q389+AO397</f>
        <v>#REF!</v>
      </c>
      <c r="R356" s="177" t="e">
        <f t="shared" si="107"/>
        <v>#REF!</v>
      </c>
      <c r="S356" s="177" t="e">
        <f t="shared" si="107"/>
        <v>#REF!</v>
      </c>
      <c r="T356" s="177" t="e">
        <f t="shared" si="107"/>
        <v>#REF!</v>
      </c>
      <c r="U356" s="747">
        <f t="shared" si="107"/>
        <v>4545756.75</v>
      </c>
      <c r="V356" s="747">
        <f t="shared" si="107"/>
        <v>4545756.75</v>
      </c>
      <c r="W356" s="747">
        <f t="shared" si="107"/>
        <v>0</v>
      </c>
      <c r="X356" s="747">
        <f t="shared" si="107"/>
        <v>0</v>
      </c>
      <c r="Y356" s="747">
        <f t="shared" si="107"/>
        <v>0</v>
      </c>
      <c r="Z356" s="747">
        <f t="shared" si="107"/>
        <v>0</v>
      </c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</row>
    <row r="357" spans="1:87" s="3" customFormat="1" ht="26.25" customHeight="1">
      <c r="A357" s="901" t="s">
        <v>132</v>
      </c>
      <c r="B357" s="902"/>
      <c r="C357" s="902"/>
      <c r="D357" s="902"/>
      <c r="E357" s="902"/>
      <c r="F357" s="902"/>
      <c r="G357" s="902"/>
      <c r="H357" s="902"/>
      <c r="I357" s="902" t="s">
        <v>638</v>
      </c>
      <c r="J357" s="402">
        <v>3172152.24</v>
      </c>
      <c r="K357" s="403">
        <v>3722394</v>
      </c>
      <c r="L357" s="142">
        <v>2110</v>
      </c>
      <c r="M357" s="417" t="s">
        <v>291</v>
      </c>
      <c r="N357" s="631" t="s">
        <v>243</v>
      </c>
      <c r="O357" s="19">
        <f>O358+O359+O360+O361+O362+O363+O364+O365+O366+O367+O368+O369+O370+O371+O372+O373+O374+O375+O376+O377+O378+O379+O380+O381+O382+O383</f>
        <v>38</v>
      </c>
      <c r="P357" s="403"/>
      <c r="Q357" s="403">
        <f>Q358+Q359+Q360+Q361+Q362+Q363+Q364+Q365+Q366+Q367+Q368+Q369+Q370+Q371+Q372+Q373+Q374+Q375+Q376+Q377+Q378+Q379+Q380+Q381+Q382+Q383</f>
        <v>3598155</v>
      </c>
      <c r="R357" s="403">
        <f>R358+R359+R360+R361+R362+R363+R364+R365+R366+R367+R368+R369+R370+R371+R372+R373+R374+R375+R376+R377+R378+R379+R380+R381+R382+R383</f>
        <v>3598155</v>
      </c>
      <c r="S357" s="403">
        <f>S358+S359+S360+S361+S362+S363+S364+S365+S366+S367+S368+S369+S370+S371+S372+S373+S374+S375+S376+S377+S378+S379+S380+S381+S382+S383</f>
        <v>3598155</v>
      </c>
      <c r="T357" s="403">
        <f>T358+T359+T360+T361+T362+T363+T364+T365+T366+T367+T368+T369+T370+T371+T372+T373+T374+T375+T376+T377+T378+T379+T380+T381+T382+T383</f>
        <v>3598155</v>
      </c>
      <c r="U357" s="88">
        <v>2322365</v>
      </c>
      <c r="V357" s="88">
        <f>U357</f>
        <v>2322365</v>
      </c>
      <c r="W357" s="88">
        <v>0</v>
      </c>
      <c r="X357" s="88">
        <v>0</v>
      </c>
      <c r="Y357" s="88">
        <v>0</v>
      </c>
      <c r="Z357" s="88">
        <v>0</v>
      </c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</row>
    <row r="358" spans="1:87" s="3" customFormat="1" ht="40.5" hidden="1" outlineLevel="1">
      <c r="A358" s="901"/>
      <c r="B358" s="902"/>
      <c r="C358" s="902"/>
      <c r="D358" s="902"/>
      <c r="E358" s="902"/>
      <c r="F358" s="902"/>
      <c r="G358" s="902"/>
      <c r="H358" s="902"/>
      <c r="I358" s="902"/>
      <c r="J358" s="405"/>
      <c r="K358" s="403"/>
      <c r="L358" s="254"/>
      <c r="M358" s="309" t="s">
        <v>292</v>
      </c>
      <c r="N358" s="632"/>
      <c r="O358" s="195">
        <v>1</v>
      </c>
      <c r="P358" s="403">
        <v>29025</v>
      </c>
      <c r="Q358" s="403">
        <f aca="true" t="shared" si="108" ref="Q358:Q365">P358*9</f>
        <v>261225</v>
      </c>
      <c r="R358" s="407">
        <v>261225</v>
      </c>
      <c r="S358" s="407">
        <v>261225</v>
      </c>
      <c r="T358" s="407">
        <v>261225</v>
      </c>
      <c r="U358" s="88"/>
      <c r="V358" s="88">
        <f aca="true" t="shared" si="109" ref="V358:V385">U358</f>
        <v>0</v>
      </c>
      <c r="W358" s="88"/>
      <c r="X358" s="88"/>
      <c r="Y358" s="88"/>
      <c r="Z358" s="88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</row>
    <row r="359" spans="1:87" s="3" customFormat="1" ht="101.25" hidden="1" outlineLevel="1">
      <c r="A359" s="901"/>
      <c r="B359" s="902"/>
      <c r="C359" s="902"/>
      <c r="D359" s="902"/>
      <c r="E359" s="902"/>
      <c r="F359" s="902"/>
      <c r="G359" s="902"/>
      <c r="H359" s="902"/>
      <c r="I359" s="902"/>
      <c r="J359" s="405"/>
      <c r="K359" s="403"/>
      <c r="L359" s="254"/>
      <c r="M359" s="309" t="s">
        <v>293</v>
      </c>
      <c r="N359" s="632"/>
      <c r="O359" s="195">
        <v>1</v>
      </c>
      <c r="P359" s="403">
        <v>23220</v>
      </c>
      <c r="Q359" s="403">
        <f t="shared" si="108"/>
        <v>208980</v>
      </c>
      <c r="R359" s="408">
        <v>208980</v>
      </c>
      <c r="S359" s="408">
        <v>208980</v>
      </c>
      <c r="T359" s="408">
        <v>208980</v>
      </c>
      <c r="U359" s="88"/>
      <c r="V359" s="88">
        <f t="shared" si="109"/>
        <v>0</v>
      </c>
      <c r="W359" s="88"/>
      <c r="X359" s="88"/>
      <c r="Y359" s="88"/>
      <c r="Z359" s="88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</row>
    <row r="360" spans="1:87" s="3" customFormat="1" ht="23.25" hidden="1" outlineLevel="1">
      <c r="A360" s="901"/>
      <c r="B360" s="902"/>
      <c r="C360" s="902"/>
      <c r="D360" s="902"/>
      <c r="E360" s="902"/>
      <c r="F360" s="902"/>
      <c r="G360" s="902"/>
      <c r="H360" s="902"/>
      <c r="I360" s="902"/>
      <c r="J360" s="405"/>
      <c r="K360" s="403"/>
      <c r="L360" s="254"/>
      <c r="M360" s="409" t="s">
        <v>294</v>
      </c>
      <c r="N360" s="632"/>
      <c r="O360" s="410">
        <v>1</v>
      </c>
      <c r="P360" s="403">
        <v>9631</v>
      </c>
      <c r="Q360" s="403">
        <v>72900</v>
      </c>
      <c r="R360" s="403">
        <v>72900</v>
      </c>
      <c r="S360" s="403">
        <v>72900</v>
      </c>
      <c r="T360" s="403">
        <v>72900</v>
      </c>
      <c r="U360" s="88"/>
      <c r="V360" s="88">
        <f t="shared" si="109"/>
        <v>0</v>
      </c>
      <c r="W360" s="88"/>
      <c r="X360" s="88"/>
      <c r="Y360" s="88"/>
      <c r="Z360" s="88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</row>
    <row r="361" spans="1:87" s="3" customFormat="1" ht="23.25" hidden="1" outlineLevel="1">
      <c r="A361" s="901"/>
      <c r="B361" s="902"/>
      <c r="C361" s="902"/>
      <c r="D361" s="902"/>
      <c r="E361" s="902"/>
      <c r="F361" s="902"/>
      <c r="G361" s="902"/>
      <c r="H361" s="902"/>
      <c r="I361" s="902"/>
      <c r="J361" s="405"/>
      <c r="K361" s="403"/>
      <c r="L361" s="254"/>
      <c r="M361" s="309" t="s">
        <v>295</v>
      </c>
      <c r="N361" s="632"/>
      <c r="O361" s="195">
        <v>1</v>
      </c>
      <c r="P361" s="403">
        <v>14445</v>
      </c>
      <c r="Q361" s="403">
        <f t="shared" si="108"/>
        <v>130005</v>
      </c>
      <c r="R361" s="408">
        <v>130005</v>
      </c>
      <c r="S361" s="408">
        <v>130005</v>
      </c>
      <c r="T361" s="408">
        <v>130005</v>
      </c>
      <c r="U361" s="88"/>
      <c r="V361" s="88">
        <f t="shared" si="109"/>
        <v>0</v>
      </c>
      <c r="W361" s="88"/>
      <c r="X361" s="88"/>
      <c r="Y361" s="88"/>
      <c r="Z361" s="88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</row>
    <row r="362" spans="1:87" s="3" customFormat="1" ht="23.25" hidden="1" outlineLevel="1">
      <c r="A362" s="901"/>
      <c r="B362" s="902"/>
      <c r="C362" s="902"/>
      <c r="D362" s="902"/>
      <c r="E362" s="902"/>
      <c r="F362" s="902"/>
      <c r="G362" s="902"/>
      <c r="H362" s="902"/>
      <c r="I362" s="902"/>
      <c r="J362" s="405"/>
      <c r="K362" s="403"/>
      <c r="L362" s="254"/>
      <c r="M362" s="309" t="s">
        <v>296</v>
      </c>
      <c r="N362" s="632"/>
      <c r="O362" s="195">
        <v>1</v>
      </c>
      <c r="P362" s="403">
        <v>23220</v>
      </c>
      <c r="Q362" s="403">
        <f t="shared" si="108"/>
        <v>208980</v>
      </c>
      <c r="R362" s="408">
        <v>208980</v>
      </c>
      <c r="S362" s="408">
        <v>208980</v>
      </c>
      <c r="T362" s="408">
        <v>208980</v>
      </c>
      <c r="U362" s="88"/>
      <c r="V362" s="88">
        <f t="shared" si="109"/>
        <v>0</v>
      </c>
      <c r="W362" s="88"/>
      <c r="X362" s="88"/>
      <c r="Y362" s="88"/>
      <c r="Z362" s="88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</row>
    <row r="363" spans="1:87" s="3" customFormat="1" ht="40.5" hidden="1" outlineLevel="1">
      <c r="A363" s="901"/>
      <c r="B363" s="902"/>
      <c r="C363" s="902"/>
      <c r="D363" s="902"/>
      <c r="E363" s="902"/>
      <c r="F363" s="902"/>
      <c r="G363" s="902"/>
      <c r="H363" s="902"/>
      <c r="I363" s="902"/>
      <c r="J363" s="405"/>
      <c r="K363" s="403"/>
      <c r="L363" s="254"/>
      <c r="M363" s="309" t="s">
        <v>297</v>
      </c>
      <c r="N363" s="632"/>
      <c r="O363" s="195">
        <v>1</v>
      </c>
      <c r="P363" s="403">
        <v>20250</v>
      </c>
      <c r="Q363" s="403">
        <f t="shared" si="108"/>
        <v>182250</v>
      </c>
      <c r="R363" s="408">
        <v>182250</v>
      </c>
      <c r="S363" s="408">
        <v>182250</v>
      </c>
      <c r="T363" s="408">
        <v>182250</v>
      </c>
      <c r="U363" s="88"/>
      <c r="V363" s="88">
        <f t="shared" si="109"/>
        <v>0</v>
      </c>
      <c r="W363" s="88"/>
      <c r="X363" s="88"/>
      <c r="Y363" s="88"/>
      <c r="Z363" s="88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</row>
    <row r="364" spans="1:87" s="3" customFormat="1" ht="23.25" hidden="1" outlineLevel="1">
      <c r="A364" s="901"/>
      <c r="B364" s="902"/>
      <c r="C364" s="902"/>
      <c r="D364" s="902"/>
      <c r="E364" s="902"/>
      <c r="F364" s="902"/>
      <c r="G364" s="902"/>
      <c r="H364" s="902"/>
      <c r="I364" s="902"/>
      <c r="J364" s="405"/>
      <c r="K364" s="403"/>
      <c r="L364" s="254"/>
      <c r="M364" s="409" t="s">
        <v>298</v>
      </c>
      <c r="N364" s="632"/>
      <c r="O364" s="410">
        <v>1</v>
      </c>
      <c r="P364" s="403">
        <v>14445</v>
      </c>
      <c r="Q364" s="403">
        <f t="shared" si="108"/>
        <v>130005</v>
      </c>
      <c r="R364" s="408">
        <v>130005</v>
      </c>
      <c r="S364" s="408">
        <v>130005</v>
      </c>
      <c r="T364" s="408">
        <v>130005</v>
      </c>
      <c r="U364" s="88"/>
      <c r="V364" s="88">
        <f t="shared" si="109"/>
        <v>0</v>
      </c>
      <c r="W364" s="88"/>
      <c r="X364" s="88"/>
      <c r="Y364" s="88"/>
      <c r="Z364" s="88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</row>
    <row r="365" spans="1:87" s="3" customFormat="1" ht="23.25" hidden="1" outlineLevel="1">
      <c r="A365" s="901"/>
      <c r="B365" s="902"/>
      <c r="C365" s="902"/>
      <c r="D365" s="902"/>
      <c r="E365" s="902"/>
      <c r="F365" s="902"/>
      <c r="G365" s="902"/>
      <c r="H365" s="902"/>
      <c r="I365" s="902"/>
      <c r="J365" s="405"/>
      <c r="K365" s="403"/>
      <c r="L365" s="254"/>
      <c r="M365" s="409" t="s">
        <v>299</v>
      </c>
      <c r="N365" s="632"/>
      <c r="O365" s="410">
        <v>1</v>
      </c>
      <c r="P365" s="403">
        <v>14445</v>
      </c>
      <c r="Q365" s="403">
        <f t="shared" si="108"/>
        <v>130005</v>
      </c>
      <c r="R365" s="408">
        <v>130005</v>
      </c>
      <c r="S365" s="408">
        <v>130005</v>
      </c>
      <c r="T365" s="408">
        <v>130005</v>
      </c>
      <c r="U365" s="88"/>
      <c r="V365" s="88">
        <f t="shared" si="109"/>
        <v>0</v>
      </c>
      <c r="W365" s="88"/>
      <c r="X365" s="88"/>
      <c r="Y365" s="88"/>
      <c r="Z365" s="88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</row>
    <row r="366" spans="1:87" s="3" customFormat="1" ht="40.5" hidden="1" outlineLevel="1">
      <c r="A366" s="901"/>
      <c r="B366" s="902"/>
      <c r="C366" s="902"/>
      <c r="D366" s="902"/>
      <c r="E366" s="902"/>
      <c r="F366" s="902"/>
      <c r="G366" s="902"/>
      <c r="H366" s="902"/>
      <c r="I366" s="902"/>
      <c r="J366" s="405"/>
      <c r="K366" s="403"/>
      <c r="L366" s="254"/>
      <c r="M366" s="409" t="s">
        <v>300</v>
      </c>
      <c r="N366" s="632"/>
      <c r="O366" s="410">
        <v>1</v>
      </c>
      <c r="P366" s="403">
        <v>9631</v>
      </c>
      <c r="Q366" s="403">
        <v>85050</v>
      </c>
      <c r="R366" s="403">
        <v>85050</v>
      </c>
      <c r="S366" s="403">
        <v>85050</v>
      </c>
      <c r="T366" s="403">
        <v>85050</v>
      </c>
      <c r="U366" s="88"/>
      <c r="V366" s="88">
        <f t="shared" si="109"/>
        <v>0</v>
      </c>
      <c r="W366" s="88"/>
      <c r="X366" s="88"/>
      <c r="Y366" s="88"/>
      <c r="Z366" s="88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</row>
    <row r="367" spans="1:87" s="3" customFormat="1" ht="23.25" hidden="1" outlineLevel="1">
      <c r="A367" s="901"/>
      <c r="B367" s="902"/>
      <c r="C367" s="902"/>
      <c r="D367" s="902"/>
      <c r="E367" s="902"/>
      <c r="F367" s="902"/>
      <c r="G367" s="902"/>
      <c r="H367" s="902"/>
      <c r="I367" s="902"/>
      <c r="J367" s="405"/>
      <c r="K367" s="403"/>
      <c r="L367" s="254"/>
      <c r="M367" s="409" t="s">
        <v>301</v>
      </c>
      <c r="N367" s="632"/>
      <c r="O367" s="410">
        <v>2</v>
      </c>
      <c r="P367" s="403">
        <v>9631</v>
      </c>
      <c r="Q367" s="403">
        <v>140400</v>
      </c>
      <c r="R367" s="403">
        <v>140400</v>
      </c>
      <c r="S367" s="403">
        <v>140400</v>
      </c>
      <c r="T367" s="403">
        <v>140400</v>
      </c>
      <c r="U367" s="88"/>
      <c r="V367" s="88">
        <f t="shared" si="109"/>
        <v>0</v>
      </c>
      <c r="W367" s="88"/>
      <c r="X367" s="88"/>
      <c r="Y367" s="88"/>
      <c r="Z367" s="88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</row>
    <row r="368" spans="1:87" s="3" customFormat="1" ht="23.25" hidden="1" outlineLevel="1">
      <c r="A368" s="901"/>
      <c r="B368" s="902"/>
      <c r="C368" s="902"/>
      <c r="D368" s="902"/>
      <c r="E368" s="902"/>
      <c r="F368" s="902"/>
      <c r="G368" s="902"/>
      <c r="H368" s="902"/>
      <c r="I368" s="902"/>
      <c r="J368" s="405"/>
      <c r="K368" s="403"/>
      <c r="L368" s="254"/>
      <c r="M368" s="409" t="s">
        <v>302</v>
      </c>
      <c r="N368" s="632"/>
      <c r="O368" s="410">
        <v>1</v>
      </c>
      <c r="P368" s="403">
        <v>14445</v>
      </c>
      <c r="Q368" s="403">
        <f>P368*9</f>
        <v>130005</v>
      </c>
      <c r="R368" s="408">
        <v>130005</v>
      </c>
      <c r="S368" s="408">
        <v>130005</v>
      </c>
      <c r="T368" s="408">
        <v>130005</v>
      </c>
      <c r="U368" s="88"/>
      <c r="V368" s="88">
        <f t="shared" si="109"/>
        <v>0</v>
      </c>
      <c r="W368" s="88"/>
      <c r="X368" s="88"/>
      <c r="Y368" s="88"/>
      <c r="Z368" s="88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</row>
    <row r="369" spans="1:26" ht="81" hidden="1" outlineLevel="1">
      <c r="A369" s="901"/>
      <c r="B369" s="902"/>
      <c r="C369" s="902"/>
      <c r="D369" s="902"/>
      <c r="E369" s="902"/>
      <c r="F369" s="902"/>
      <c r="G369" s="902"/>
      <c r="H369" s="902"/>
      <c r="I369" s="902"/>
      <c r="J369" s="405"/>
      <c r="K369" s="403"/>
      <c r="L369" s="254"/>
      <c r="M369" s="409" t="s">
        <v>303</v>
      </c>
      <c r="N369" s="632"/>
      <c r="O369" s="410">
        <v>1</v>
      </c>
      <c r="P369" s="403">
        <v>9631</v>
      </c>
      <c r="Q369" s="403">
        <v>70200</v>
      </c>
      <c r="R369" s="403">
        <v>70200</v>
      </c>
      <c r="S369" s="403">
        <v>70200</v>
      </c>
      <c r="T369" s="403">
        <v>70200</v>
      </c>
      <c r="U369" s="88"/>
      <c r="V369" s="88">
        <f t="shared" si="109"/>
        <v>0</v>
      </c>
      <c r="W369" s="88"/>
      <c r="X369" s="88"/>
      <c r="Y369" s="88"/>
      <c r="Z369" s="88"/>
    </row>
    <row r="370" spans="1:26" ht="40.5" hidden="1" outlineLevel="1">
      <c r="A370" s="901"/>
      <c r="B370" s="902"/>
      <c r="C370" s="902"/>
      <c r="D370" s="902"/>
      <c r="E370" s="902"/>
      <c r="F370" s="902"/>
      <c r="G370" s="902"/>
      <c r="H370" s="902"/>
      <c r="I370" s="902"/>
      <c r="J370" s="405"/>
      <c r="K370" s="403"/>
      <c r="L370" s="254"/>
      <c r="M370" s="69" t="s">
        <v>304</v>
      </c>
      <c r="N370" s="590"/>
      <c r="O370" s="188">
        <v>1</v>
      </c>
      <c r="P370" s="19">
        <v>17010</v>
      </c>
      <c r="Q370" s="19"/>
      <c r="R370" s="411"/>
      <c r="S370" s="411"/>
      <c r="T370" s="411"/>
      <c r="U370" s="88"/>
      <c r="V370" s="88">
        <f t="shared" si="109"/>
        <v>0</v>
      </c>
      <c r="W370" s="88"/>
      <c r="X370" s="88"/>
      <c r="Y370" s="88"/>
      <c r="Z370" s="88"/>
    </row>
    <row r="371" spans="1:26" ht="23.25" hidden="1" outlineLevel="1">
      <c r="A371" s="901"/>
      <c r="B371" s="902"/>
      <c r="C371" s="902"/>
      <c r="D371" s="902"/>
      <c r="E371" s="902"/>
      <c r="F371" s="902"/>
      <c r="G371" s="902"/>
      <c r="H371" s="902"/>
      <c r="I371" s="902"/>
      <c r="J371" s="405"/>
      <c r="K371" s="403"/>
      <c r="L371" s="254"/>
      <c r="M371" s="409" t="s">
        <v>305</v>
      </c>
      <c r="N371" s="632"/>
      <c r="O371" s="410">
        <v>4</v>
      </c>
      <c r="P371" s="403">
        <v>9631</v>
      </c>
      <c r="Q371" s="403">
        <v>280800</v>
      </c>
      <c r="R371" s="403">
        <v>280800</v>
      </c>
      <c r="S371" s="403">
        <v>280800</v>
      </c>
      <c r="T371" s="403">
        <v>280800</v>
      </c>
      <c r="U371" s="88"/>
      <c r="V371" s="88">
        <f t="shared" si="109"/>
        <v>0</v>
      </c>
      <c r="W371" s="88"/>
      <c r="X371" s="88"/>
      <c r="Y371" s="88"/>
      <c r="Z371" s="88"/>
    </row>
    <row r="372" spans="1:26" ht="23.25" hidden="1" outlineLevel="1">
      <c r="A372" s="901"/>
      <c r="B372" s="902"/>
      <c r="C372" s="902"/>
      <c r="D372" s="902"/>
      <c r="E372" s="902"/>
      <c r="F372" s="902"/>
      <c r="G372" s="902"/>
      <c r="H372" s="902"/>
      <c r="I372" s="902"/>
      <c r="J372" s="405"/>
      <c r="K372" s="403"/>
      <c r="L372" s="254"/>
      <c r="M372" s="409" t="s">
        <v>306</v>
      </c>
      <c r="N372" s="632"/>
      <c r="O372" s="410">
        <v>1</v>
      </c>
      <c r="P372" s="403">
        <v>9631</v>
      </c>
      <c r="Q372" s="403">
        <v>70200</v>
      </c>
      <c r="R372" s="403">
        <v>70200</v>
      </c>
      <c r="S372" s="403">
        <v>70200</v>
      </c>
      <c r="T372" s="403">
        <v>70200</v>
      </c>
      <c r="U372" s="88"/>
      <c r="V372" s="88">
        <f t="shared" si="109"/>
        <v>0</v>
      </c>
      <c r="W372" s="88"/>
      <c r="X372" s="88"/>
      <c r="Y372" s="88"/>
      <c r="Z372" s="88"/>
    </row>
    <row r="373" spans="1:26" ht="23.25" hidden="1" outlineLevel="1">
      <c r="A373" s="901"/>
      <c r="B373" s="902"/>
      <c r="C373" s="902"/>
      <c r="D373" s="902"/>
      <c r="E373" s="902"/>
      <c r="F373" s="902"/>
      <c r="G373" s="902"/>
      <c r="H373" s="902"/>
      <c r="I373" s="902"/>
      <c r="J373" s="405"/>
      <c r="K373" s="403"/>
      <c r="L373" s="254"/>
      <c r="M373" s="409" t="s">
        <v>307</v>
      </c>
      <c r="N373" s="632"/>
      <c r="O373" s="410">
        <v>1</v>
      </c>
      <c r="P373" s="403">
        <v>9631</v>
      </c>
      <c r="Q373" s="403">
        <v>70200</v>
      </c>
      <c r="R373" s="403">
        <v>70200</v>
      </c>
      <c r="S373" s="403">
        <v>70200</v>
      </c>
      <c r="T373" s="403">
        <v>70200</v>
      </c>
      <c r="U373" s="88"/>
      <c r="V373" s="88">
        <f t="shared" si="109"/>
        <v>0</v>
      </c>
      <c r="W373" s="88"/>
      <c r="X373" s="88"/>
      <c r="Y373" s="88"/>
      <c r="Z373" s="88"/>
    </row>
    <row r="374" spans="1:26" ht="40.5" hidden="1" outlineLevel="1">
      <c r="A374" s="901"/>
      <c r="B374" s="902"/>
      <c r="C374" s="902"/>
      <c r="D374" s="902"/>
      <c r="E374" s="902"/>
      <c r="F374" s="902"/>
      <c r="G374" s="902"/>
      <c r="H374" s="902"/>
      <c r="I374" s="902"/>
      <c r="J374" s="405"/>
      <c r="K374" s="403"/>
      <c r="L374" s="254"/>
      <c r="M374" s="409" t="s">
        <v>308</v>
      </c>
      <c r="N374" s="632"/>
      <c r="O374" s="410">
        <v>2</v>
      </c>
      <c r="P374" s="403">
        <v>9631</v>
      </c>
      <c r="Q374" s="403">
        <v>140400</v>
      </c>
      <c r="R374" s="403">
        <v>140400</v>
      </c>
      <c r="S374" s="403">
        <v>140400</v>
      </c>
      <c r="T374" s="403">
        <v>140400</v>
      </c>
      <c r="U374" s="88"/>
      <c r="V374" s="88">
        <f t="shared" si="109"/>
        <v>0</v>
      </c>
      <c r="W374" s="88"/>
      <c r="X374" s="88"/>
      <c r="Y374" s="88"/>
      <c r="Z374" s="88"/>
    </row>
    <row r="375" spans="1:26" ht="23.25" hidden="1" outlineLevel="1">
      <c r="A375" s="901"/>
      <c r="B375" s="902"/>
      <c r="C375" s="902"/>
      <c r="D375" s="902"/>
      <c r="E375" s="902"/>
      <c r="F375" s="902"/>
      <c r="G375" s="902"/>
      <c r="H375" s="902"/>
      <c r="I375" s="902"/>
      <c r="J375" s="405"/>
      <c r="K375" s="403"/>
      <c r="L375" s="254"/>
      <c r="M375" s="409" t="s">
        <v>309</v>
      </c>
      <c r="N375" s="632"/>
      <c r="O375" s="410">
        <v>2</v>
      </c>
      <c r="P375" s="403">
        <v>9631</v>
      </c>
      <c r="Q375" s="403">
        <v>140400</v>
      </c>
      <c r="R375" s="403">
        <v>140400</v>
      </c>
      <c r="S375" s="403">
        <v>140400</v>
      </c>
      <c r="T375" s="403">
        <v>140400</v>
      </c>
      <c r="U375" s="88"/>
      <c r="V375" s="88">
        <f t="shared" si="109"/>
        <v>0</v>
      </c>
      <c r="W375" s="88"/>
      <c r="X375" s="88"/>
      <c r="Y375" s="88"/>
      <c r="Z375" s="88"/>
    </row>
    <row r="376" spans="1:26" ht="23.25" hidden="1" outlineLevel="1">
      <c r="A376" s="901"/>
      <c r="B376" s="902"/>
      <c r="C376" s="902"/>
      <c r="D376" s="902"/>
      <c r="E376" s="902"/>
      <c r="F376" s="902"/>
      <c r="G376" s="902"/>
      <c r="H376" s="902"/>
      <c r="I376" s="902"/>
      <c r="J376" s="405"/>
      <c r="K376" s="403"/>
      <c r="L376" s="254"/>
      <c r="M376" s="409" t="s">
        <v>310</v>
      </c>
      <c r="N376" s="632"/>
      <c r="O376" s="410">
        <v>4</v>
      </c>
      <c r="P376" s="403">
        <v>9631</v>
      </c>
      <c r="Q376" s="403">
        <v>280800</v>
      </c>
      <c r="R376" s="403">
        <v>280800</v>
      </c>
      <c r="S376" s="403">
        <v>280800</v>
      </c>
      <c r="T376" s="403">
        <v>280800</v>
      </c>
      <c r="U376" s="88"/>
      <c r="V376" s="88">
        <f t="shared" si="109"/>
        <v>0</v>
      </c>
      <c r="W376" s="88"/>
      <c r="X376" s="88"/>
      <c r="Y376" s="88"/>
      <c r="Z376" s="88"/>
    </row>
    <row r="377" spans="1:26" ht="40.5" hidden="1" outlineLevel="1">
      <c r="A377" s="901"/>
      <c r="B377" s="902"/>
      <c r="C377" s="902"/>
      <c r="D377" s="902"/>
      <c r="E377" s="902"/>
      <c r="F377" s="902"/>
      <c r="G377" s="902"/>
      <c r="H377" s="902"/>
      <c r="I377" s="902"/>
      <c r="J377" s="405"/>
      <c r="K377" s="403"/>
      <c r="L377" s="254"/>
      <c r="M377" s="69" t="s">
        <v>402</v>
      </c>
      <c r="N377" s="590"/>
      <c r="O377" s="188">
        <v>1</v>
      </c>
      <c r="P377" s="19">
        <v>24300</v>
      </c>
      <c r="Q377" s="19">
        <v>218700</v>
      </c>
      <c r="R377" s="19">
        <v>218700</v>
      </c>
      <c r="S377" s="19">
        <v>218700</v>
      </c>
      <c r="T377" s="19">
        <v>218700</v>
      </c>
      <c r="U377" s="88"/>
      <c r="V377" s="88">
        <f t="shared" si="109"/>
        <v>0</v>
      </c>
      <c r="W377" s="88"/>
      <c r="X377" s="88"/>
      <c r="Y377" s="88"/>
      <c r="Z377" s="88"/>
    </row>
    <row r="378" spans="1:26" ht="60.75" hidden="1" outlineLevel="1">
      <c r="A378" s="901"/>
      <c r="B378" s="902"/>
      <c r="C378" s="902"/>
      <c r="D378" s="902"/>
      <c r="E378" s="902"/>
      <c r="F378" s="902"/>
      <c r="G378" s="902"/>
      <c r="H378" s="902"/>
      <c r="I378" s="902"/>
      <c r="J378" s="405"/>
      <c r="K378" s="403"/>
      <c r="L378" s="254"/>
      <c r="M378" s="409" t="s">
        <v>311</v>
      </c>
      <c r="N378" s="632"/>
      <c r="O378" s="410">
        <v>1</v>
      </c>
      <c r="P378" s="403">
        <v>9631</v>
      </c>
      <c r="Q378" s="403">
        <v>85050</v>
      </c>
      <c r="R378" s="403">
        <f>Q378</f>
        <v>85050</v>
      </c>
      <c r="S378" s="403">
        <f>R378</f>
        <v>85050</v>
      </c>
      <c r="T378" s="403">
        <f>S378</f>
        <v>85050</v>
      </c>
      <c r="U378" s="88"/>
      <c r="V378" s="88">
        <f t="shared" si="109"/>
        <v>0</v>
      </c>
      <c r="W378" s="88"/>
      <c r="X378" s="88"/>
      <c r="Y378" s="88"/>
      <c r="Z378" s="88"/>
    </row>
    <row r="379" spans="1:26" ht="23.25" hidden="1" outlineLevel="1">
      <c r="A379" s="901"/>
      <c r="B379" s="902"/>
      <c r="C379" s="902"/>
      <c r="D379" s="902"/>
      <c r="E379" s="902"/>
      <c r="F379" s="902"/>
      <c r="G379" s="902"/>
      <c r="H379" s="902"/>
      <c r="I379" s="902"/>
      <c r="J379" s="405"/>
      <c r="K379" s="403"/>
      <c r="L379" s="254"/>
      <c r="M379" s="409" t="s">
        <v>312</v>
      </c>
      <c r="N379" s="632"/>
      <c r="O379" s="410">
        <v>4</v>
      </c>
      <c r="P379" s="403">
        <v>9631</v>
      </c>
      <c r="Q379" s="403">
        <v>280800</v>
      </c>
      <c r="R379" s="403">
        <v>280800</v>
      </c>
      <c r="S379" s="403">
        <v>280800</v>
      </c>
      <c r="T379" s="403">
        <v>280800</v>
      </c>
      <c r="U379" s="88"/>
      <c r="V379" s="88">
        <f t="shared" si="109"/>
        <v>0</v>
      </c>
      <c r="W379" s="88"/>
      <c r="X379" s="88"/>
      <c r="Y379" s="88"/>
      <c r="Z379" s="88"/>
    </row>
    <row r="380" spans="1:26" ht="23.25" hidden="1" outlineLevel="1">
      <c r="A380" s="901"/>
      <c r="B380" s="902"/>
      <c r="C380" s="902"/>
      <c r="D380" s="902"/>
      <c r="E380" s="902"/>
      <c r="F380" s="902"/>
      <c r="G380" s="902"/>
      <c r="H380" s="902"/>
      <c r="I380" s="902"/>
      <c r="J380" s="405"/>
      <c r="K380" s="403"/>
      <c r="L380" s="254"/>
      <c r="M380" s="409" t="s">
        <v>301</v>
      </c>
      <c r="N380" s="631"/>
      <c r="O380" s="412">
        <v>1</v>
      </c>
      <c r="P380" s="403">
        <v>9631</v>
      </c>
      <c r="Q380" s="403">
        <v>70200</v>
      </c>
      <c r="R380" s="403">
        <v>70200</v>
      </c>
      <c r="S380" s="403">
        <v>70200</v>
      </c>
      <c r="T380" s="403">
        <v>70200</v>
      </c>
      <c r="U380" s="88"/>
      <c r="V380" s="88">
        <f t="shared" si="109"/>
        <v>0</v>
      </c>
      <c r="W380" s="88"/>
      <c r="X380" s="88"/>
      <c r="Y380" s="88"/>
      <c r="Z380" s="88"/>
    </row>
    <row r="381" spans="1:26" ht="81" hidden="1" outlineLevel="1">
      <c r="A381" s="901"/>
      <c r="B381" s="902"/>
      <c r="C381" s="902"/>
      <c r="D381" s="902"/>
      <c r="E381" s="902"/>
      <c r="F381" s="902"/>
      <c r="G381" s="902"/>
      <c r="H381" s="902"/>
      <c r="I381" s="902"/>
      <c r="J381" s="405"/>
      <c r="K381" s="403"/>
      <c r="L381" s="254"/>
      <c r="M381" s="409" t="s">
        <v>303</v>
      </c>
      <c r="N381" s="631"/>
      <c r="O381" s="412">
        <v>1</v>
      </c>
      <c r="P381" s="403">
        <v>9631</v>
      </c>
      <c r="Q381" s="403">
        <v>70200</v>
      </c>
      <c r="R381" s="403">
        <v>70200</v>
      </c>
      <c r="S381" s="403">
        <v>70200</v>
      </c>
      <c r="T381" s="403">
        <v>70200</v>
      </c>
      <c r="U381" s="88"/>
      <c r="V381" s="88">
        <f t="shared" si="109"/>
        <v>0</v>
      </c>
      <c r="W381" s="88"/>
      <c r="X381" s="88"/>
      <c r="Y381" s="88"/>
      <c r="Z381" s="88"/>
    </row>
    <row r="382" spans="1:26" ht="23.25" hidden="1" outlineLevel="1">
      <c r="A382" s="901"/>
      <c r="B382" s="902"/>
      <c r="C382" s="902"/>
      <c r="D382" s="902"/>
      <c r="E382" s="902"/>
      <c r="F382" s="902"/>
      <c r="G382" s="902"/>
      <c r="H382" s="902"/>
      <c r="I382" s="902"/>
      <c r="J382" s="405"/>
      <c r="K382" s="403"/>
      <c r="L382" s="254"/>
      <c r="M382" s="409" t="s">
        <v>306</v>
      </c>
      <c r="N382" s="631"/>
      <c r="O382" s="412">
        <v>1</v>
      </c>
      <c r="P382" s="403">
        <v>9631</v>
      </c>
      <c r="Q382" s="403">
        <v>70200</v>
      </c>
      <c r="R382" s="403">
        <v>70200</v>
      </c>
      <c r="S382" s="403">
        <v>70200</v>
      </c>
      <c r="T382" s="403">
        <v>70200</v>
      </c>
      <c r="U382" s="88"/>
      <c r="V382" s="88">
        <f t="shared" si="109"/>
        <v>0</v>
      </c>
      <c r="W382" s="88"/>
      <c r="X382" s="88"/>
      <c r="Y382" s="88"/>
      <c r="Z382" s="88"/>
    </row>
    <row r="383" spans="1:26" ht="23.25" hidden="1" outlineLevel="1">
      <c r="A383" s="901"/>
      <c r="B383" s="902"/>
      <c r="C383" s="902"/>
      <c r="D383" s="902"/>
      <c r="E383" s="902"/>
      <c r="F383" s="902"/>
      <c r="G383" s="902"/>
      <c r="H383" s="902"/>
      <c r="I383" s="902"/>
      <c r="J383" s="405"/>
      <c r="K383" s="403"/>
      <c r="L383" s="254"/>
      <c r="M383" s="409" t="s">
        <v>307</v>
      </c>
      <c r="N383" s="632"/>
      <c r="O383" s="410">
        <v>1</v>
      </c>
      <c r="P383" s="403">
        <v>9631</v>
      </c>
      <c r="Q383" s="403">
        <v>70200</v>
      </c>
      <c r="R383" s="403">
        <v>70200</v>
      </c>
      <c r="S383" s="403">
        <v>70200</v>
      </c>
      <c r="T383" s="403">
        <v>70200</v>
      </c>
      <c r="U383" s="88"/>
      <c r="V383" s="88">
        <f t="shared" si="109"/>
        <v>0</v>
      </c>
      <c r="W383" s="88"/>
      <c r="X383" s="88"/>
      <c r="Y383" s="88"/>
      <c r="Z383" s="88"/>
    </row>
    <row r="384" spans="1:26" ht="23.25" hidden="1" outlineLevel="1">
      <c r="A384" s="901"/>
      <c r="B384" s="902"/>
      <c r="C384" s="902"/>
      <c r="D384" s="902"/>
      <c r="E384" s="902"/>
      <c r="F384" s="902"/>
      <c r="G384" s="902"/>
      <c r="H384" s="902"/>
      <c r="I384" s="902"/>
      <c r="J384" s="405"/>
      <c r="K384" s="403"/>
      <c r="L384" s="254"/>
      <c r="M384" s="409"/>
      <c r="N384" s="632"/>
      <c r="O384" s="413"/>
      <c r="P384" s="403"/>
      <c r="Q384" s="403"/>
      <c r="R384" s="414"/>
      <c r="S384" s="403"/>
      <c r="T384" s="403"/>
      <c r="U384" s="88"/>
      <c r="V384" s="88">
        <f t="shared" si="109"/>
        <v>0</v>
      </c>
      <c r="W384" s="88"/>
      <c r="X384" s="88"/>
      <c r="Y384" s="88"/>
      <c r="Z384" s="88"/>
    </row>
    <row r="385" spans="1:26" ht="45.75" customHeight="1" collapsed="1">
      <c r="A385" s="901"/>
      <c r="B385" s="902"/>
      <c r="C385" s="902"/>
      <c r="D385" s="902"/>
      <c r="E385" s="902"/>
      <c r="F385" s="902"/>
      <c r="G385" s="902"/>
      <c r="H385" s="902"/>
      <c r="I385" s="902"/>
      <c r="J385" s="402">
        <v>957989.98</v>
      </c>
      <c r="K385" s="403">
        <v>1124907</v>
      </c>
      <c r="L385" s="415">
        <v>2130</v>
      </c>
      <c r="M385" s="417" t="s">
        <v>313</v>
      </c>
      <c r="N385" s="631" t="s">
        <v>401</v>
      </c>
      <c r="O385" s="403"/>
      <c r="P385" s="403"/>
      <c r="Q385" s="403">
        <v>1086642.8</v>
      </c>
      <c r="R385" s="403">
        <v>1086642.8</v>
      </c>
      <c r="S385" s="403">
        <v>1086642.8</v>
      </c>
      <c r="T385" s="403">
        <v>1086642.8</v>
      </c>
      <c r="U385" s="88">
        <v>703212</v>
      </c>
      <c r="V385" s="88">
        <f t="shared" si="109"/>
        <v>703212</v>
      </c>
      <c r="W385" s="88">
        <v>0</v>
      </c>
      <c r="X385" s="88">
        <v>0</v>
      </c>
      <c r="Y385" s="88">
        <v>0</v>
      </c>
      <c r="Z385" s="88">
        <v>0</v>
      </c>
    </row>
    <row r="386" spans="1:26" ht="45.75" customHeight="1">
      <c r="A386" s="901"/>
      <c r="B386" s="902"/>
      <c r="C386" s="902"/>
      <c r="D386" s="902"/>
      <c r="E386" s="902"/>
      <c r="F386" s="902"/>
      <c r="G386" s="902"/>
      <c r="H386" s="902"/>
      <c r="I386" s="902"/>
      <c r="J386" s="402">
        <v>3494171.19</v>
      </c>
      <c r="K386" s="403">
        <v>1263000</v>
      </c>
      <c r="L386" s="415">
        <v>2230</v>
      </c>
      <c r="M386" s="404" t="s">
        <v>314</v>
      </c>
      <c r="N386" s="633"/>
      <c r="O386" s="115"/>
      <c r="P386" s="115"/>
      <c r="Q386" s="115">
        <v>3554250</v>
      </c>
      <c r="R386" s="115">
        <v>3554250</v>
      </c>
      <c r="S386" s="115">
        <v>3554250</v>
      </c>
      <c r="T386" s="115">
        <v>3554250</v>
      </c>
      <c r="U386" s="115">
        <f aca="true" t="shared" si="110" ref="U386:Z386">U387+U388</f>
        <v>1495182.25</v>
      </c>
      <c r="V386" s="115">
        <f t="shared" si="110"/>
        <v>1495182.25</v>
      </c>
      <c r="W386" s="115">
        <f t="shared" si="110"/>
        <v>0</v>
      </c>
      <c r="X386" s="115">
        <f t="shared" si="110"/>
        <v>0</v>
      </c>
      <c r="Y386" s="115">
        <f t="shared" si="110"/>
        <v>0</v>
      </c>
      <c r="Z386" s="115">
        <f t="shared" si="110"/>
        <v>0</v>
      </c>
    </row>
    <row r="387" spans="1:26" ht="84" customHeight="1">
      <c r="A387" s="901"/>
      <c r="B387" s="902"/>
      <c r="C387" s="902"/>
      <c r="D387" s="902"/>
      <c r="E387" s="902"/>
      <c r="F387" s="902"/>
      <c r="G387" s="902"/>
      <c r="H387" s="902"/>
      <c r="I387" s="902"/>
      <c r="J387" s="402"/>
      <c r="K387" s="403"/>
      <c r="L387" s="416">
        <v>2230</v>
      </c>
      <c r="M387" s="417" t="s">
        <v>496</v>
      </c>
      <c r="N387" s="634" t="s">
        <v>315</v>
      </c>
      <c r="O387" s="133">
        <v>275</v>
      </c>
      <c r="P387" s="133">
        <v>6.22</v>
      </c>
      <c r="Q387" s="133">
        <v>1710500</v>
      </c>
      <c r="R387" s="133">
        <v>1710500</v>
      </c>
      <c r="S387" s="133">
        <v>1710500</v>
      </c>
      <c r="T387" s="133">
        <v>1710500</v>
      </c>
      <c r="U387" s="88">
        <v>745182.25</v>
      </c>
      <c r="V387" s="88">
        <f>U387</f>
        <v>745182.25</v>
      </c>
      <c r="W387" s="88">
        <v>0</v>
      </c>
      <c r="X387" s="88">
        <f>W387</f>
        <v>0</v>
      </c>
      <c r="Y387" s="88">
        <v>0</v>
      </c>
      <c r="Z387" s="88">
        <f>Y387</f>
        <v>0</v>
      </c>
    </row>
    <row r="388" spans="1:26" ht="43.5" customHeight="1">
      <c r="A388" s="901"/>
      <c r="B388" s="902"/>
      <c r="C388" s="902"/>
      <c r="D388" s="902"/>
      <c r="E388" s="902"/>
      <c r="F388" s="902"/>
      <c r="G388" s="902"/>
      <c r="H388" s="902"/>
      <c r="I388" s="902"/>
      <c r="J388" s="402"/>
      <c r="K388" s="403"/>
      <c r="L388" s="416">
        <v>2230</v>
      </c>
      <c r="M388" s="417" t="s">
        <v>316</v>
      </c>
      <c r="N388" s="634" t="s">
        <v>317</v>
      </c>
      <c r="O388" s="133">
        <v>295</v>
      </c>
      <c r="P388" s="133">
        <v>6.25</v>
      </c>
      <c r="Q388" s="133">
        <v>1843750</v>
      </c>
      <c r="R388" s="133">
        <v>1843750</v>
      </c>
      <c r="S388" s="133">
        <v>1843750</v>
      </c>
      <c r="T388" s="133">
        <v>1843750</v>
      </c>
      <c r="U388" s="88">
        <v>750000</v>
      </c>
      <c r="V388" s="88">
        <f>U388</f>
        <v>750000</v>
      </c>
      <c r="W388" s="88">
        <v>0</v>
      </c>
      <c r="X388" s="88">
        <f>W388</f>
        <v>0</v>
      </c>
      <c r="Y388" s="88">
        <v>0</v>
      </c>
      <c r="Z388" s="88">
        <f>Y388</f>
        <v>0</v>
      </c>
    </row>
    <row r="389" spans="1:26" ht="33" customHeight="1">
      <c r="A389" s="901"/>
      <c r="B389" s="902"/>
      <c r="C389" s="902"/>
      <c r="D389" s="902"/>
      <c r="E389" s="902"/>
      <c r="F389" s="902"/>
      <c r="G389" s="902"/>
      <c r="H389" s="902"/>
      <c r="I389" s="902"/>
      <c r="J389" s="402">
        <v>37036</v>
      </c>
      <c r="K389" s="403">
        <v>0</v>
      </c>
      <c r="L389" s="415">
        <v>7660</v>
      </c>
      <c r="M389" s="417" t="s">
        <v>318</v>
      </c>
      <c r="N389" s="633"/>
      <c r="O389" s="115"/>
      <c r="P389" s="115"/>
      <c r="Q389" s="115" t="e">
        <f>AO395+#REF!+AO396</f>
        <v>#REF!</v>
      </c>
      <c r="R389" s="115" t="e">
        <f>AP395+#REF!+AP396</f>
        <v>#REF!</v>
      </c>
      <c r="S389" s="115" t="e">
        <f>AQ395+#REF!+AQ396</f>
        <v>#REF!</v>
      </c>
      <c r="T389" s="115" t="e">
        <f>AR395+#REF!+AR396</f>
        <v>#REF!</v>
      </c>
      <c r="U389" s="88">
        <v>24997.5</v>
      </c>
      <c r="V389" s="88">
        <f>U389</f>
        <v>24997.5</v>
      </c>
      <c r="W389" s="88">
        <v>0</v>
      </c>
      <c r="X389" s="88">
        <f>W389</f>
        <v>0</v>
      </c>
      <c r="Y389" s="88">
        <v>0</v>
      </c>
      <c r="Z389" s="88">
        <f>Y389</f>
        <v>0</v>
      </c>
    </row>
    <row r="390" spans="1:26" ht="33" customHeight="1">
      <c r="A390" s="809" t="s">
        <v>773</v>
      </c>
      <c r="B390" s="810"/>
      <c r="C390" s="810"/>
      <c r="D390" s="810"/>
      <c r="E390" s="810"/>
      <c r="F390" s="810"/>
      <c r="G390" s="810"/>
      <c r="H390" s="810"/>
      <c r="I390" s="810"/>
      <c r="J390" s="810"/>
      <c r="K390" s="810"/>
      <c r="L390" s="810"/>
      <c r="M390" s="810"/>
      <c r="N390" s="811"/>
      <c r="O390" s="781"/>
      <c r="P390" s="781"/>
      <c r="Q390" s="781"/>
      <c r="R390" s="781"/>
      <c r="S390" s="781"/>
      <c r="T390" s="781"/>
      <c r="U390" s="782">
        <f aca="true" t="shared" si="111" ref="U390:Z390">U391+U393</f>
        <v>9700000</v>
      </c>
      <c r="V390" s="782">
        <f t="shared" si="111"/>
        <v>9700000</v>
      </c>
      <c r="W390" s="782">
        <f t="shared" si="111"/>
        <v>0</v>
      </c>
      <c r="X390" s="782">
        <f t="shared" si="111"/>
        <v>0</v>
      </c>
      <c r="Y390" s="782">
        <f t="shared" si="111"/>
        <v>0</v>
      </c>
      <c r="Z390" s="782">
        <f t="shared" si="111"/>
        <v>0</v>
      </c>
    </row>
    <row r="391" spans="1:26" ht="111.75" customHeight="1">
      <c r="A391" s="166" t="s">
        <v>754</v>
      </c>
      <c r="B391" s="176">
        <v>811</v>
      </c>
      <c r="C391" s="787" t="s">
        <v>103</v>
      </c>
      <c r="D391" s="787" t="s">
        <v>774</v>
      </c>
      <c r="E391" s="787" t="s">
        <v>8</v>
      </c>
      <c r="F391" s="787"/>
      <c r="G391" s="787" t="s">
        <v>490</v>
      </c>
      <c r="H391" s="787" t="s">
        <v>9</v>
      </c>
      <c r="I391" s="166" t="s">
        <v>775</v>
      </c>
      <c r="J391" s="770"/>
      <c r="K391" s="768"/>
      <c r="L391" s="784"/>
      <c r="M391" s="785"/>
      <c r="N391" s="783"/>
      <c r="O391" s="769"/>
      <c r="P391" s="769"/>
      <c r="Q391" s="769"/>
      <c r="R391" s="769"/>
      <c r="S391" s="769"/>
      <c r="T391" s="769"/>
      <c r="U391" s="92">
        <f aca="true" t="shared" si="112" ref="U391:Z391">U392</f>
        <v>900000</v>
      </c>
      <c r="V391" s="92">
        <f t="shared" si="112"/>
        <v>900000</v>
      </c>
      <c r="W391" s="92">
        <f t="shared" si="112"/>
        <v>0</v>
      </c>
      <c r="X391" s="92">
        <f t="shared" si="112"/>
        <v>0</v>
      </c>
      <c r="Y391" s="92">
        <f t="shared" si="112"/>
        <v>0</v>
      </c>
      <c r="Z391" s="92">
        <f t="shared" si="112"/>
        <v>0</v>
      </c>
    </row>
    <row r="392" spans="1:26" ht="81">
      <c r="A392" s="788" t="s">
        <v>59</v>
      </c>
      <c r="B392" s="771"/>
      <c r="C392" s="771"/>
      <c r="D392" s="771"/>
      <c r="E392" s="771"/>
      <c r="F392" s="771"/>
      <c r="G392" s="771"/>
      <c r="H392" s="771"/>
      <c r="I392" s="771"/>
      <c r="J392" s="402"/>
      <c r="K392" s="403"/>
      <c r="L392" s="415"/>
      <c r="M392" s="417"/>
      <c r="N392" s="780"/>
      <c r="O392" s="115"/>
      <c r="P392" s="115"/>
      <c r="Q392" s="115"/>
      <c r="R392" s="115"/>
      <c r="S392" s="115"/>
      <c r="T392" s="115"/>
      <c r="U392" s="88">
        <v>900000</v>
      </c>
      <c r="V392" s="88">
        <v>900000</v>
      </c>
      <c r="W392" s="88">
        <v>0</v>
      </c>
      <c r="X392" s="88">
        <v>0</v>
      </c>
      <c r="Y392" s="88">
        <v>0</v>
      </c>
      <c r="Z392" s="88">
        <v>0</v>
      </c>
    </row>
    <row r="393" spans="1:26" ht="90" customHeight="1">
      <c r="A393" s="166" t="s">
        <v>776</v>
      </c>
      <c r="B393" s="786" t="s">
        <v>6</v>
      </c>
      <c r="C393" s="786" t="s">
        <v>20</v>
      </c>
      <c r="D393" s="786" t="s">
        <v>774</v>
      </c>
      <c r="E393" s="787" t="s">
        <v>8</v>
      </c>
      <c r="F393" s="787"/>
      <c r="G393" s="787" t="s">
        <v>490</v>
      </c>
      <c r="H393" s="787" t="s">
        <v>9</v>
      </c>
      <c r="I393" s="166" t="s">
        <v>775</v>
      </c>
      <c r="J393" s="770"/>
      <c r="K393" s="768"/>
      <c r="L393" s="784"/>
      <c r="M393" s="785"/>
      <c r="N393" s="783"/>
      <c r="O393" s="769"/>
      <c r="P393" s="769"/>
      <c r="Q393" s="769"/>
      <c r="R393" s="769"/>
      <c r="S393" s="769"/>
      <c r="T393" s="769"/>
      <c r="U393" s="755">
        <f aca="true" t="shared" si="113" ref="U393:Z393">U394</f>
        <v>8800000</v>
      </c>
      <c r="V393" s="755">
        <f t="shared" si="113"/>
        <v>8800000</v>
      </c>
      <c r="W393" s="755">
        <f t="shared" si="113"/>
        <v>0</v>
      </c>
      <c r="X393" s="755">
        <f t="shared" si="113"/>
        <v>0</v>
      </c>
      <c r="Y393" s="755">
        <f t="shared" si="113"/>
        <v>0</v>
      </c>
      <c r="Z393" s="755">
        <f t="shared" si="113"/>
        <v>0</v>
      </c>
    </row>
    <row r="394" spans="1:26" ht="81">
      <c r="A394" s="788" t="s">
        <v>59</v>
      </c>
      <c r="B394" s="771"/>
      <c r="C394" s="771"/>
      <c r="D394" s="771"/>
      <c r="E394" s="771"/>
      <c r="F394" s="771"/>
      <c r="G394" s="771"/>
      <c r="H394" s="771"/>
      <c r="I394" s="771"/>
      <c r="J394" s="402"/>
      <c r="K394" s="403"/>
      <c r="L394" s="415"/>
      <c r="M394" s="417"/>
      <c r="N394" s="780"/>
      <c r="O394" s="115"/>
      <c r="P394" s="115"/>
      <c r="Q394" s="115"/>
      <c r="R394" s="115"/>
      <c r="S394" s="115"/>
      <c r="T394" s="115"/>
      <c r="U394" s="88">
        <v>8800000</v>
      </c>
      <c r="V394" s="88">
        <f>U394</f>
        <v>8800000</v>
      </c>
      <c r="W394" s="88">
        <v>0</v>
      </c>
      <c r="X394" s="88">
        <v>0</v>
      </c>
      <c r="Y394" s="88">
        <v>0</v>
      </c>
      <c r="Z394" s="88">
        <v>0</v>
      </c>
    </row>
    <row r="395" spans="1:47" ht="32.25" customHeight="1">
      <c r="A395" s="903" t="s">
        <v>133</v>
      </c>
      <c r="B395" s="904"/>
      <c r="C395" s="904"/>
      <c r="D395" s="904"/>
      <c r="E395" s="904"/>
      <c r="F395" s="904"/>
      <c r="G395" s="904"/>
      <c r="H395" s="904"/>
      <c r="I395" s="904"/>
      <c r="J395" s="904"/>
      <c r="K395" s="904"/>
      <c r="L395" s="904"/>
      <c r="M395" s="904"/>
      <c r="N395" s="905"/>
      <c r="O395" s="116"/>
      <c r="P395" s="116" t="e">
        <f>P396+P398+P447+P450+P588+P560</f>
        <v>#REF!</v>
      </c>
      <c r="Q395" s="116" t="e">
        <f>Q396+Q398+Q447+Q450+Q588+#REF!+#REF!+Q560</f>
        <v>#REF!</v>
      </c>
      <c r="R395" s="116" t="e">
        <f>R396+R398+R447+R450+R588+#REF!+#REF!+R560</f>
        <v>#REF!</v>
      </c>
      <c r="S395" s="116" t="e">
        <f>S396+S398+S447+S450+S588+#REF!+#REF!+S560</f>
        <v>#REF!</v>
      </c>
      <c r="T395" s="116" t="e">
        <f>T396+T398+T447+T450+#REF!+T560</f>
        <v>#REF!</v>
      </c>
      <c r="U395" s="116">
        <f aca="true" t="shared" si="114" ref="U395:Z395">U396+U398+U447+U450+U560+U587</f>
        <v>48200476</v>
      </c>
      <c r="V395" s="116">
        <f t="shared" si="114"/>
        <v>48200476</v>
      </c>
      <c r="W395" s="116">
        <f t="shared" si="114"/>
        <v>9277909.969999999</v>
      </c>
      <c r="X395" s="116">
        <f t="shared" si="114"/>
        <v>9277909.969999999</v>
      </c>
      <c r="Y395" s="116">
        <f t="shared" si="114"/>
        <v>9277909.969999999</v>
      </c>
      <c r="Z395" s="116">
        <f t="shared" si="114"/>
        <v>9277909.969999999</v>
      </c>
      <c r="AN395" s="3"/>
      <c r="AO395" s="16"/>
      <c r="AP395" s="16"/>
      <c r="AQ395" s="16"/>
      <c r="AR395" s="16"/>
      <c r="AS395" s="16"/>
      <c r="AT395" s="16"/>
      <c r="AU395" s="16"/>
    </row>
    <row r="396" spans="1:47" ht="149.25" customHeight="1">
      <c r="A396" s="378" t="s">
        <v>134</v>
      </c>
      <c r="B396" s="346" t="s">
        <v>6</v>
      </c>
      <c r="C396" s="346" t="s">
        <v>7</v>
      </c>
      <c r="D396" s="346" t="s">
        <v>135</v>
      </c>
      <c r="E396" s="346" t="s">
        <v>136</v>
      </c>
      <c r="F396" s="346" t="s">
        <v>137</v>
      </c>
      <c r="G396" s="346" t="s">
        <v>137</v>
      </c>
      <c r="H396" s="346" t="s">
        <v>9</v>
      </c>
      <c r="I396" s="216" t="s">
        <v>138</v>
      </c>
      <c r="J396" s="418">
        <f>J397</f>
        <v>682000</v>
      </c>
      <c r="K396" s="419">
        <f>K397</f>
        <v>1440000</v>
      </c>
      <c r="L396" s="217" t="s">
        <v>139</v>
      </c>
      <c r="M396" s="420"/>
      <c r="N396" s="625">
        <v>26</v>
      </c>
      <c r="O396" s="380">
        <v>2000</v>
      </c>
      <c r="P396" s="380">
        <f>P397</f>
        <v>0</v>
      </c>
      <c r="Q396" s="380">
        <f>O396*N396*9</f>
        <v>468000</v>
      </c>
      <c r="R396" s="380">
        <f>O396*N396*9</f>
        <v>468000</v>
      </c>
      <c r="S396" s="380">
        <f>O396*N396*9</f>
        <v>468000</v>
      </c>
      <c r="T396" s="94">
        <f aca="true" t="shared" si="115" ref="T396:Z396">T397</f>
        <v>468000</v>
      </c>
      <c r="U396" s="94">
        <f t="shared" si="115"/>
        <v>468000</v>
      </c>
      <c r="V396" s="94">
        <f t="shared" si="115"/>
        <v>468000</v>
      </c>
      <c r="W396" s="94">
        <f t="shared" si="115"/>
        <v>468000</v>
      </c>
      <c r="X396" s="94">
        <f t="shared" si="115"/>
        <v>468000</v>
      </c>
      <c r="Y396" s="94">
        <f t="shared" si="115"/>
        <v>468000</v>
      </c>
      <c r="Z396" s="94">
        <f t="shared" si="115"/>
        <v>468000</v>
      </c>
      <c r="AN396" s="3"/>
      <c r="AO396" s="16"/>
      <c r="AP396" s="16"/>
      <c r="AQ396" s="16"/>
      <c r="AR396" s="16"/>
      <c r="AS396" s="16"/>
      <c r="AT396" s="16"/>
      <c r="AU396" s="16"/>
    </row>
    <row r="397" spans="1:47" ht="166.5" customHeight="1">
      <c r="A397" s="154" t="s">
        <v>59</v>
      </c>
      <c r="B397" s="360"/>
      <c r="C397" s="360"/>
      <c r="D397" s="360"/>
      <c r="E397" s="360"/>
      <c r="F397" s="360"/>
      <c r="G397" s="360"/>
      <c r="H397" s="360"/>
      <c r="I397" s="72" t="s">
        <v>239</v>
      </c>
      <c r="J397" s="421">
        <v>682000</v>
      </c>
      <c r="K397" s="90">
        <v>1440000</v>
      </c>
      <c r="L397" s="90"/>
      <c r="M397" s="422"/>
      <c r="N397" s="635">
        <v>26</v>
      </c>
      <c r="O397" s="423">
        <v>2000</v>
      </c>
      <c r="P397" s="90"/>
      <c r="Q397" s="47">
        <f>O397*N397*9</f>
        <v>468000</v>
      </c>
      <c r="R397" s="90">
        <f>O397*N397*9</f>
        <v>468000</v>
      </c>
      <c r="S397" s="90">
        <f>O397*N397*9</f>
        <v>468000</v>
      </c>
      <c r="T397" s="47">
        <v>468000</v>
      </c>
      <c r="U397" s="47">
        <v>468000</v>
      </c>
      <c r="V397" s="47">
        <f>U397</f>
        <v>468000</v>
      </c>
      <c r="W397" s="47">
        <v>468000</v>
      </c>
      <c r="X397" s="47">
        <f>W397</f>
        <v>468000</v>
      </c>
      <c r="Y397" s="47">
        <v>468000</v>
      </c>
      <c r="Z397" s="88">
        <f>Y397</f>
        <v>468000</v>
      </c>
      <c r="AE397" s="10"/>
      <c r="AH397" s="12"/>
      <c r="AI397" s="3"/>
      <c r="AK397" s="13"/>
      <c r="AM397" s="3"/>
      <c r="AN397" s="3"/>
      <c r="AO397" s="16"/>
      <c r="AP397" s="16"/>
      <c r="AQ397" s="16"/>
      <c r="AR397" s="16"/>
      <c r="AS397" s="16"/>
      <c r="AT397" s="16"/>
      <c r="AU397" s="16"/>
    </row>
    <row r="398" spans="1:47" ht="237" customHeight="1">
      <c r="A398" s="424" t="s">
        <v>692</v>
      </c>
      <c r="B398" s="688" t="s">
        <v>6</v>
      </c>
      <c r="C398" s="688" t="s">
        <v>7</v>
      </c>
      <c r="D398" s="688" t="s">
        <v>140</v>
      </c>
      <c r="E398" s="688" t="s">
        <v>8</v>
      </c>
      <c r="F398" s="688" t="s">
        <v>141</v>
      </c>
      <c r="G398" s="688" t="s">
        <v>500</v>
      </c>
      <c r="H398" s="688" t="s">
        <v>9</v>
      </c>
      <c r="I398" s="425" t="s">
        <v>232</v>
      </c>
      <c r="J398" s="426" t="e">
        <f>#REF!+#REF!+#REF!+#REF!+#REF!+J399+#REF!+#REF!+#REF!+#REF!+J403+J404+J434+#REF!+J435+J436+J437+J438+J439+J442+J443+J444+J445+J446+#REF!</f>
        <v>#REF!</v>
      </c>
      <c r="K398" s="418" t="e">
        <f>#REF!+#REF!+#REF!+#REF!+#REF!+K399+#REF!+#REF!+#REF!+#REF!+K403+K404+K434+#REF!+K435+K436+K437+K438+K439+K442+K443+K444+K445+K446+#REF!</f>
        <v>#REF!</v>
      </c>
      <c r="L398" s="217" t="s">
        <v>14</v>
      </c>
      <c r="M398" s="427"/>
      <c r="N398" s="636" t="s">
        <v>243</v>
      </c>
      <c r="O398" s="426"/>
      <c r="P398" s="426" t="e">
        <f>#REF!+P399+#REF!+#REF!+#REF!+#REF!+P403+P404+#REF!+P434+#REF!+P435+P436+P437+P438+P439+P442+P443+P444+P445+P446</f>
        <v>#REF!</v>
      </c>
      <c r="Q398" s="426" t="e">
        <f>#REF!+#REF!+#REF!+#REF!+#REF!+Q399+#REF!+#REF!+#REF!+#REF!+Q403+Q404+Q434+#REF!+Q435+Q436+Q437+Q438+Q439+Q442+Q443+Q444+Q445+Q446+#REF!+Q441+Q440</f>
        <v>#REF!</v>
      </c>
      <c r="R398" s="426" t="e">
        <f>#REF!+#REF!+#REF!+#REF!+#REF!+R399+#REF!+#REF!+#REF!+#REF!+R403+R404+R434+#REF!+R435+R436+R437+R438+R439+R442+R443+R444+R445+R446+#REF!+R441+R440</f>
        <v>#REF!</v>
      </c>
      <c r="S398" s="426" t="e">
        <f>#REF!+#REF!+#REF!+#REF!+#REF!+S399+#REF!+#REF!+#REF!+#REF!+S403+S404+S434+#REF!+S435+S436+S437+S438+S439+S442+S443+S444+S445+S446+#REF!+S441+S440</f>
        <v>#REF!</v>
      </c>
      <c r="T398" s="112" t="e">
        <f>#REF!+#REF!+#REF!+#REF!+#REF!+T399+#REF!+#REF!+#REF!+#REF!+T403+T404+T434+#REF!+T435+T436+T437+T438+T439+T442+T443+T444+T445+T446+#REF!+T441+T440</f>
        <v>#REF!</v>
      </c>
      <c r="U398" s="112">
        <f aca="true" t="shared" si="116" ref="U398:Z398">U399+U400+U403+U404+U406+U434+U442+U445</f>
        <v>706700</v>
      </c>
      <c r="V398" s="112">
        <f t="shared" si="116"/>
        <v>706700</v>
      </c>
      <c r="W398" s="112">
        <f t="shared" si="116"/>
        <v>446761.88</v>
      </c>
      <c r="X398" s="112">
        <f t="shared" si="116"/>
        <v>446761.88</v>
      </c>
      <c r="Y398" s="112">
        <f t="shared" si="116"/>
        <v>446761.88</v>
      </c>
      <c r="Z398" s="112">
        <f t="shared" si="116"/>
        <v>446761.88</v>
      </c>
      <c r="AE398" s="10"/>
      <c r="AH398" s="12"/>
      <c r="AI398" s="3"/>
      <c r="AK398" s="13"/>
      <c r="AM398" s="3"/>
      <c r="AN398" s="3"/>
      <c r="AO398" s="16"/>
      <c r="AP398" s="16"/>
      <c r="AQ398" s="16"/>
      <c r="AR398" s="16"/>
      <c r="AS398" s="16"/>
      <c r="AT398" s="16"/>
      <c r="AU398" s="16"/>
    </row>
    <row r="399" spans="1:47" ht="93.75" customHeight="1">
      <c r="A399" s="428" t="s">
        <v>142</v>
      </c>
      <c r="B399" s="856"/>
      <c r="C399" s="856"/>
      <c r="D399" s="856"/>
      <c r="E399" s="856"/>
      <c r="F399" s="856"/>
      <c r="G399" s="856"/>
      <c r="H399" s="856"/>
      <c r="I399" s="856" t="s">
        <v>691</v>
      </c>
      <c r="J399" s="429">
        <v>42200</v>
      </c>
      <c r="K399" s="430">
        <v>15000</v>
      </c>
      <c r="L399" s="431"/>
      <c r="M399" s="432" t="s">
        <v>639</v>
      </c>
      <c r="N399" s="637">
        <v>1</v>
      </c>
      <c r="O399" s="433">
        <v>20000</v>
      </c>
      <c r="P399" s="434">
        <f>ROUND(N399*O399,0)</f>
        <v>20000</v>
      </c>
      <c r="Q399" s="434">
        <v>40000</v>
      </c>
      <c r="R399" s="434">
        <v>20000</v>
      </c>
      <c r="S399" s="434">
        <v>40000</v>
      </c>
      <c r="T399" s="47">
        <v>20000</v>
      </c>
      <c r="U399" s="47">
        <v>20000</v>
      </c>
      <c r="V399" s="47">
        <f>U399</f>
        <v>20000</v>
      </c>
      <c r="W399" s="47">
        <v>12644</v>
      </c>
      <c r="X399" s="47">
        <f>W399</f>
        <v>12644</v>
      </c>
      <c r="Y399" s="47">
        <f>W399</f>
        <v>12644</v>
      </c>
      <c r="Z399" s="88">
        <f>Y399</f>
        <v>12644</v>
      </c>
      <c r="AE399" s="10"/>
      <c r="AN399" s="3"/>
      <c r="AO399" s="16"/>
      <c r="AP399" s="16"/>
      <c r="AQ399" s="16"/>
      <c r="AR399" s="16"/>
      <c r="AS399" s="16"/>
      <c r="AT399" s="16"/>
      <c r="AU399" s="16"/>
    </row>
    <row r="400" spans="1:47" ht="390" customHeight="1">
      <c r="A400" s="428" t="s">
        <v>679</v>
      </c>
      <c r="B400" s="856"/>
      <c r="C400" s="856"/>
      <c r="D400" s="856"/>
      <c r="E400" s="856"/>
      <c r="F400" s="856"/>
      <c r="G400" s="856"/>
      <c r="H400" s="856"/>
      <c r="I400" s="856"/>
      <c r="J400" s="900"/>
      <c r="K400" s="900"/>
      <c r="L400" s="900"/>
      <c r="M400" s="435" t="s">
        <v>640</v>
      </c>
      <c r="N400" s="638">
        <v>54</v>
      </c>
      <c r="O400" s="434">
        <v>7444.44</v>
      </c>
      <c r="P400" s="434">
        <v>402000</v>
      </c>
      <c r="Q400" s="434">
        <v>402000</v>
      </c>
      <c r="R400" s="434"/>
      <c r="S400" s="434"/>
      <c r="T400" s="47">
        <v>130300</v>
      </c>
      <c r="U400" s="47">
        <v>130300</v>
      </c>
      <c r="V400" s="47">
        <f aca="true" t="shared" si="117" ref="V400:V445">U400</f>
        <v>130300</v>
      </c>
      <c r="W400" s="47">
        <v>82361.88</v>
      </c>
      <c r="X400" s="47">
        <f aca="true" t="shared" si="118" ref="X400:X445">W400</f>
        <v>82361.88</v>
      </c>
      <c r="Y400" s="47">
        <f>W400</f>
        <v>82361.88</v>
      </c>
      <c r="Z400" s="88">
        <f aca="true" t="shared" si="119" ref="Z400:Z445">Y400</f>
        <v>82361.88</v>
      </c>
      <c r="AE400" s="10"/>
      <c r="AN400" s="3"/>
      <c r="AO400" s="16"/>
      <c r="AP400" s="16"/>
      <c r="AQ400" s="16"/>
      <c r="AR400" s="16"/>
      <c r="AS400" s="16"/>
      <c r="AT400" s="16"/>
      <c r="AU400" s="16"/>
    </row>
    <row r="401" spans="1:47" ht="232.5" customHeight="1" hidden="1">
      <c r="A401" s="156"/>
      <c r="B401" s="856"/>
      <c r="C401" s="856"/>
      <c r="D401" s="856"/>
      <c r="E401" s="856"/>
      <c r="F401" s="856"/>
      <c r="G401" s="856"/>
      <c r="H401" s="856"/>
      <c r="I401" s="856"/>
      <c r="J401" s="900"/>
      <c r="K401" s="900"/>
      <c r="L401" s="900"/>
      <c r="M401" s="436" t="s">
        <v>641</v>
      </c>
      <c r="N401" s="638">
        <v>58</v>
      </c>
      <c r="O401" s="434">
        <f>ROUND(R401/N401,2)</f>
        <v>6620.69</v>
      </c>
      <c r="P401" s="434">
        <v>384000</v>
      </c>
      <c r="Q401" s="434"/>
      <c r="R401" s="434">
        <v>384000</v>
      </c>
      <c r="S401" s="434"/>
      <c r="T401" s="47"/>
      <c r="U401" s="47"/>
      <c r="V401" s="47">
        <f t="shared" si="117"/>
        <v>0</v>
      </c>
      <c r="W401" s="47"/>
      <c r="X401" s="47">
        <f t="shared" si="118"/>
        <v>0</v>
      </c>
      <c r="Y401" s="47"/>
      <c r="Z401" s="88">
        <f t="shared" si="119"/>
        <v>0</v>
      </c>
      <c r="AE401" s="10"/>
      <c r="AN401" s="3"/>
      <c r="AO401" s="16"/>
      <c r="AP401" s="16"/>
      <c r="AQ401" s="16"/>
      <c r="AR401" s="16"/>
      <c r="AS401" s="16"/>
      <c r="AT401" s="16"/>
      <c r="AU401" s="16"/>
    </row>
    <row r="402" spans="1:47" ht="348.75" customHeight="1" hidden="1">
      <c r="A402" s="156"/>
      <c r="B402" s="856"/>
      <c r="C402" s="856"/>
      <c r="D402" s="856"/>
      <c r="E402" s="856"/>
      <c r="F402" s="856"/>
      <c r="G402" s="856"/>
      <c r="H402" s="856"/>
      <c r="I402" s="856"/>
      <c r="J402" s="900"/>
      <c r="K402" s="900"/>
      <c r="L402" s="900"/>
      <c r="M402" s="436" t="s">
        <v>642</v>
      </c>
      <c r="N402" s="638">
        <v>67</v>
      </c>
      <c r="O402" s="434">
        <f>ROUND(S402/N402,2)</f>
        <v>6671.64</v>
      </c>
      <c r="P402" s="434">
        <v>447000</v>
      </c>
      <c r="Q402" s="434"/>
      <c r="R402" s="434"/>
      <c r="S402" s="434">
        <v>447000</v>
      </c>
      <c r="T402" s="47"/>
      <c r="U402" s="47"/>
      <c r="V402" s="47">
        <f t="shared" si="117"/>
        <v>0</v>
      </c>
      <c r="W402" s="47"/>
      <c r="X402" s="47">
        <f t="shared" si="118"/>
        <v>0</v>
      </c>
      <c r="Y402" s="47"/>
      <c r="Z402" s="88">
        <f t="shared" si="119"/>
        <v>0</v>
      </c>
      <c r="AE402" s="10"/>
      <c r="AN402" s="3"/>
      <c r="AO402" s="16"/>
      <c r="AP402" s="16"/>
      <c r="AQ402" s="16"/>
      <c r="AR402" s="16"/>
      <c r="AS402" s="16"/>
      <c r="AT402" s="16"/>
      <c r="AU402" s="16"/>
    </row>
    <row r="403" spans="1:47" ht="102" customHeight="1">
      <c r="A403" s="428" t="s">
        <v>145</v>
      </c>
      <c r="B403" s="856"/>
      <c r="C403" s="856"/>
      <c r="D403" s="856"/>
      <c r="E403" s="856"/>
      <c r="F403" s="856"/>
      <c r="G403" s="856"/>
      <c r="H403" s="856"/>
      <c r="I403" s="856"/>
      <c r="J403" s="434">
        <v>15000</v>
      </c>
      <c r="K403" s="434">
        <v>45000</v>
      </c>
      <c r="L403" s="437"/>
      <c r="M403" s="432" t="s">
        <v>502</v>
      </c>
      <c r="N403" s="638">
        <v>2</v>
      </c>
      <c r="O403" s="433">
        <v>12000</v>
      </c>
      <c r="P403" s="434">
        <f>N403*O403</f>
        <v>24000</v>
      </c>
      <c r="Q403" s="434">
        <f>P403</f>
        <v>24000</v>
      </c>
      <c r="R403" s="434">
        <f>Q403</f>
        <v>24000</v>
      </c>
      <c r="S403" s="434">
        <f>R403</f>
        <v>24000</v>
      </c>
      <c r="T403" s="47">
        <v>30000</v>
      </c>
      <c r="U403" s="47">
        <v>30000</v>
      </c>
      <c r="V403" s="47">
        <f t="shared" si="117"/>
        <v>30000</v>
      </c>
      <c r="W403" s="47">
        <v>18966</v>
      </c>
      <c r="X403" s="47">
        <f t="shared" si="118"/>
        <v>18966</v>
      </c>
      <c r="Y403" s="47">
        <f>W403</f>
        <v>18966</v>
      </c>
      <c r="Z403" s="88">
        <f t="shared" si="119"/>
        <v>18966</v>
      </c>
      <c r="AE403" s="10"/>
      <c r="AN403" s="3"/>
      <c r="AO403" s="16"/>
      <c r="AP403" s="16"/>
      <c r="AQ403" s="16"/>
      <c r="AR403" s="16"/>
      <c r="AS403" s="16"/>
      <c r="AT403" s="16"/>
      <c r="AU403" s="16"/>
    </row>
    <row r="404" spans="1:47" ht="93.75" customHeight="1">
      <c r="A404" s="428" t="s">
        <v>515</v>
      </c>
      <c r="B404" s="856"/>
      <c r="C404" s="856"/>
      <c r="D404" s="856"/>
      <c r="E404" s="856"/>
      <c r="F404" s="856"/>
      <c r="G404" s="856"/>
      <c r="H404" s="856"/>
      <c r="I404" s="856"/>
      <c r="J404" s="429">
        <v>87000</v>
      </c>
      <c r="K404" s="430">
        <v>60000</v>
      </c>
      <c r="L404" s="431"/>
      <c r="M404" s="438" t="s">
        <v>400</v>
      </c>
      <c r="N404" s="639">
        <v>3</v>
      </c>
      <c r="O404" s="439">
        <v>60000</v>
      </c>
      <c r="P404" s="440">
        <f>ROUND(N404*O404,0)</f>
        <v>180000</v>
      </c>
      <c r="Q404" s="440">
        <f>O404*N404</f>
        <v>180000</v>
      </c>
      <c r="R404" s="440">
        <f>O404*N404</f>
        <v>180000</v>
      </c>
      <c r="S404" s="440">
        <f>O404*N404</f>
        <v>180000</v>
      </c>
      <c r="T404" s="47">
        <v>180000</v>
      </c>
      <c r="U404" s="47">
        <v>180000</v>
      </c>
      <c r="V404" s="47">
        <f t="shared" si="117"/>
        <v>180000</v>
      </c>
      <c r="W404" s="47">
        <v>113796</v>
      </c>
      <c r="X404" s="47">
        <f t="shared" si="118"/>
        <v>113796</v>
      </c>
      <c r="Y404" s="47">
        <f>W404</f>
        <v>113796</v>
      </c>
      <c r="Z404" s="88">
        <f t="shared" si="119"/>
        <v>113796</v>
      </c>
      <c r="AE404" s="10"/>
      <c r="AN404" s="3"/>
      <c r="AO404" s="16"/>
      <c r="AP404" s="16"/>
      <c r="AQ404" s="16"/>
      <c r="AR404" s="16"/>
      <c r="AS404" s="16"/>
      <c r="AT404" s="16"/>
      <c r="AU404" s="16"/>
    </row>
    <row r="405" spans="1:47" ht="162.75" customHeight="1" hidden="1">
      <c r="A405" s="428" t="s">
        <v>146</v>
      </c>
      <c r="B405" s="156"/>
      <c r="C405" s="156"/>
      <c r="D405" s="156"/>
      <c r="E405" s="156"/>
      <c r="F405" s="156"/>
      <c r="G405" s="156"/>
      <c r="H405" s="156"/>
      <c r="I405" s="856"/>
      <c r="J405" s="900"/>
      <c r="K405" s="900"/>
      <c r="L405" s="900"/>
      <c r="M405" s="437" t="s">
        <v>346</v>
      </c>
      <c r="N405" s="638">
        <v>1</v>
      </c>
      <c r="O405" s="434">
        <v>6500</v>
      </c>
      <c r="P405" s="434">
        <f aca="true" t="shared" si="120" ref="P405:P433">ROUND(N405*O405,0)</f>
        <v>6500</v>
      </c>
      <c r="Q405" s="46">
        <v>6500</v>
      </c>
      <c r="R405" s="434"/>
      <c r="S405" s="434"/>
      <c r="T405" s="47"/>
      <c r="U405" s="47"/>
      <c r="V405" s="47">
        <f t="shared" si="117"/>
        <v>0</v>
      </c>
      <c r="W405" s="47"/>
      <c r="X405" s="47">
        <f t="shared" si="118"/>
        <v>0</v>
      </c>
      <c r="Y405" s="47"/>
      <c r="Z405" s="88">
        <f t="shared" si="119"/>
        <v>0</v>
      </c>
      <c r="AE405" s="10"/>
      <c r="AN405" s="3"/>
      <c r="AO405" s="16"/>
      <c r="AP405" s="16"/>
      <c r="AQ405" s="16"/>
      <c r="AR405" s="16"/>
      <c r="AS405" s="16"/>
      <c r="AT405" s="16"/>
      <c r="AU405" s="16"/>
    </row>
    <row r="406" spans="1:47" ht="307.5" customHeight="1">
      <c r="A406" s="428" t="s">
        <v>146</v>
      </c>
      <c r="B406" s="156"/>
      <c r="C406" s="156"/>
      <c r="D406" s="156"/>
      <c r="E406" s="156"/>
      <c r="F406" s="156"/>
      <c r="G406" s="156"/>
      <c r="H406" s="156"/>
      <c r="I406" s="856"/>
      <c r="J406" s="900"/>
      <c r="K406" s="900"/>
      <c r="L406" s="900"/>
      <c r="M406" s="437" t="s">
        <v>741</v>
      </c>
      <c r="N406" s="638">
        <v>2</v>
      </c>
      <c r="O406" s="434">
        <v>14000</v>
      </c>
      <c r="P406" s="434">
        <f t="shared" si="120"/>
        <v>28000</v>
      </c>
      <c r="Q406" s="46">
        <v>28000</v>
      </c>
      <c r="R406" s="434"/>
      <c r="S406" s="434"/>
      <c r="T406" s="47">
        <v>28000</v>
      </c>
      <c r="U406" s="47">
        <v>28000</v>
      </c>
      <c r="V406" s="47">
        <f t="shared" si="117"/>
        <v>28000</v>
      </c>
      <c r="W406" s="47">
        <v>17702</v>
      </c>
      <c r="X406" s="47">
        <f t="shared" si="118"/>
        <v>17702</v>
      </c>
      <c r="Y406" s="47">
        <f>W406</f>
        <v>17702</v>
      </c>
      <c r="Z406" s="88">
        <f t="shared" si="119"/>
        <v>17702</v>
      </c>
      <c r="AE406" s="10"/>
      <c r="AN406" s="3"/>
      <c r="AO406" s="16"/>
      <c r="AP406" s="16"/>
      <c r="AQ406" s="16"/>
      <c r="AR406" s="16"/>
      <c r="AS406" s="16"/>
      <c r="AT406" s="16"/>
      <c r="AU406" s="16"/>
    </row>
    <row r="407" spans="1:47" ht="162.75" customHeight="1" hidden="1">
      <c r="A407" s="428"/>
      <c r="B407" s="156"/>
      <c r="C407" s="156"/>
      <c r="D407" s="156"/>
      <c r="E407" s="156"/>
      <c r="F407" s="156"/>
      <c r="G407" s="156"/>
      <c r="H407" s="156"/>
      <c r="I407" s="856"/>
      <c r="J407" s="900"/>
      <c r="K407" s="900"/>
      <c r="L407" s="900"/>
      <c r="M407" s="437" t="s">
        <v>359</v>
      </c>
      <c r="N407" s="638">
        <v>11</v>
      </c>
      <c r="O407" s="434">
        <v>4000</v>
      </c>
      <c r="P407" s="434">
        <f t="shared" si="120"/>
        <v>44000</v>
      </c>
      <c r="Q407" s="46">
        <v>44000</v>
      </c>
      <c r="R407" s="434"/>
      <c r="S407" s="434"/>
      <c r="T407" s="47"/>
      <c r="U407" s="47"/>
      <c r="V407" s="47">
        <f t="shared" si="117"/>
        <v>0</v>
      </c>
      <c r="W407" s="47"/>
      <c r="X407" s="47">
        <f t="shared" si="118"/>
        <v>0</v>
      </c>
      <c r="Y407" s="47"/>
      <c r="Z407" s="88">
        <f t="shared" si="119"/>
        <v>0</v>
      </c>
      <c r="AE407" s="10"/>
      <c r="AN407" s="3"/>
      <c r="AO407" s="16"/>
      <c r="AP407" s="16"/>
      <c r="AQ407" s="16"/>
      <c r="AR407" s="16"/>
      <c r="AS407" s="16"/>
      <c r="AT407" s="16"/>
      <c r="AU407" s="16"/>
    </row>
    <row r="408" spans="1:47" ht="162.75" customHeight="1" hidden="1">
      <c r="A408" s="428"/>
      <c r="B408" s="156"/>
      <c r="C408" s="156"/>
      <c r="D408" s="156"/>
      <c r="E408" s="156"/>
      <c r="F408" s="156"/>
      <c r="G408" s="156"/>
      <c r="H408" s="156"/>
      <c r="I408" s="856"/>
      <c r="J408" s="900"/>
      <c r="K408" s="900"/>
      <c r="L408" s="900"/>
      <c r="M408" s="437" t="s">
        <v>360</v>
      </c>
      <c r="N408" s="638">
        <v>1</v>
      </c>
      <c r="O408" s="434">
        <v>14000</v>
      </c>
      <c r="P408" s="434">
        <f t="shared" si="120"/>
        <v>14000</v>
      </c>
      <c r="Q408" s="46">
        <v>14000</v>
      </c>
      <c r="R408" s="434"/>
      <c r="S408" s="434"/>
      <c r="T408" s="47"/>
      <c r="U408" s="47"/>
      <c r="V408" s="47">
        <f t="shared" si="117"/>
        <v>0</v>
      </c>
      <c r="W408" s="47"/>
      <c r="X408" s="47">
        <f t="shared" si="118"/>
        <v>0</v>
      </c>
      <c r="Y408" s="47"/>
      <c r="Z408" s="88">
        <f t="shared" si="119"/>
        <v>0</v>
      </c>
      <c r="AE408" s="10"/>
      <c r="AN408" s="3"/>
      <c r="AO408" s="16"/>
      <c r="AP408" s="16"/>
      <c r="AQ408" s="16"/>
      <c r="AR408" s="16"/>
      <c r="AS408" s="16"/>
      <c r="AT408" s="16"/>
      <c r="AU408" s="16"/>
    </row>
    <row r="409" spans="1:47" ht="162.75" customHeight="1" hidden="1">
      <c r="A409" s="428"/>
      <c r="B409" s="156"/>
      <c r="C409" s="156"/>
      <c r="D409" s="156"/>
      <c r="E409" s="156"/>
      <c r="F409" s="156"/>
      <c r="G409" s="156"/>
      <c r="H409" s="156"/>
      <c r="I409" s="856"/>
      <c r="J409" s="900"/>
      <c r="K409" s="900"/>
      <c r="L409" s="900"/>
      <c r="M409" s="437" t="s">
        <v>361</v>
      </c>
      <c r="N409" s="638">
        <v>1</v>
      </c>
      <c r="O409" s="434">
        <v>14000</v>
      </c>
      <c r="P409" s="434">
        <f t="shared" si="120"/>
        <v>14000</v>
      </c>
      <c r="Q409" s="46">
        <v>14000</v>
      </c>
      <c r="R409" s="434"/>
      <c r="S409" s="434"/>
      <c r="T409" s="47"/>
      <c r="U409" s="47"/>
      <c r="V409" s="47">
        <f t="shared" si="117"/>
        <v>0</v>
      </c>
      <c r="W409" s="47"/>
      <c r="X409" s="47">
        <f t="shared" si="118"/>
        <v>0</v>
      </c>
      <c r="Y409" s="47"/>
      <c r="Z409" s="88">
        <f t="shared" si="119"/>
        <v>0</v>
      </c>
      <c r="AE409" s="10"/>
      <c r="AN409" s="3"/>
      <c r="AO409" s="16"/>
      <c r="AP409" s="16"/>
      <c r="AQ409" s="16"/>
      <c r="AR409" s="16"/>
      <c r="AS409" s="16"/>
      <c r="AT409" s="16"/>
      <c r="AU409" s="16"/>
    </row>
    <row r="410" spans="1:47" ht="139.5" customHeight="1" hidden="1">
      <c r="A410" s="428"/>
      <c r="B410" s="156"/>
      <c r="C410" s="156"/>
      <c r="D410" s="156"/>
      <c r="E410" s="156"/>
      <c r="F410" s="156"/>
      <c r="G410" s="156"/>
      <c r="H410" s="156"/>
      <c r="I410" s="856"/>
      <c r="J410" s="900"/>
      <c r="K410" s="900"/>
      <c r="L410" s="900"/>
      <c r="M410" s="437" t="s">
        <v>347</v>
      </c>
      <c r="N410" s="638">
        <v>1</v>
      </c>
      <c r="O410" s="434">
        <v>14000</v>
      </c>
      <c r="P410" s="434">
        <f t="shared" si="120"/>
        <v>14000</v>
      </c>
      <c r="Q410" s="46">
        <v>14000</v>
      </c>
      <c r="R410" s="434"/>
      <c r="S410" s="434"/>
      <c r="T410" s="47"/>
      <c r="U410" s="47"/>
      <c r="V410" s="47">
        <f t="shared" si="117"/>
        <v>0</v>
      </c>
      <c r="W410" s="47"/>
      <c r="X410" s="47">
        <f t="shared" si="118"/>
        <v>0</v>
      </c>
      <c r="Y410" s="47"/>
      <c r="Z410" s="88">
        <f t="shared" si="119"/>
        <v>0</v>
      </c>
      <c r="AE410" s="10"/>
      <c r="AN410" s="3"/>
      <c r="AO410" s="16"/>
      <c r="AP410" s="16"/>
      <c r="AQ410" s="16"/>
      <c r="AR410" s="16"/>
      <c r="AS410" s="16"/>
      <c r="AT410" s="16"/>
      <c r="AU410" s="16"/>
    </row>
    <row r="411" spans="1:47" ht="139.5" customHeight="1" hidden="1">
      <c r="A411" s="428"/>
      <c r="B411" s="156"/>
      <c r="C411" s="156"/>
      <c r="D411" s="156"/>
      <c r="E411" s="156"/>
      <c r="F411" s="156"/>
      <c r="G411" s="156"/>
      <c r="H411" s="156"/>
      <c r="I411" s="856"/>
      <c r="J411" s="900"/>
      <c r="K411" s="900"/>
      <c r="L411" s="900"/>
      <c r="M411" s="437" t="s">
        <v>362</v>
      </c>
      <c r="N411" s="638">
        <v>16</v>
      </c>
      <c r="O411" s="434">
        <v>14000</v>
      </c>
      <c r="P411" s="434">
        <f t="shared" si="120"/>
        <v>224000</v>
      </c>
      <c r="Q411" s="46">
        <v>224000</v>
      </c>
      <c r="R411" s="434"/>
      <c r="S411" s="434"/>
      <c r="T411" s="47"/>
      <c r="U411" s="47"/>
      <c r="V411" s="47">
        <f t="shared" si="117"/>
        <v>0</v>
      </c>
      <c r="W411" s="47"/>
      <c r="X411" s="47">
        <f t="shared" si="118"/>
        <v>0</v>
      </c>
      <c r="Y411" s="47"/>
      <c r="Z411" s="88">
        <f t="shared" si="119"/>
        <v>0</v>
      </c>
      <c r="AE411" s="10"/>
      <c r="AN411" s="3"/>
      <c r="AO411" s="16"/>
      <c r="AP411" s="16"/>
      <c r="AQ411" s="16"/>
      <c r="AR411" s="16"/>
      <c r="AS411" s="16"/>
      <c r="AT411" s="16"/>
      <c r="AU411" s="16"/>
    </row>
    <row r="412" spans="1:47" ht="116.25" customHeight="1" hidden="1">
      <c r="A412" s="428"/>
      <c r="B412" s="156"/>
      <c r="C412" s="156"/>
      <c r="D412" s="156"/>
      <c r="E412" s="156"/>
      <c r="F412" s="156"/>
      <c r="G412" s="156"/>
      <c r="H412" s="156"/>
      <c r="I412" s="856"/>
      <c r="J412" s="900"/>
      <c r="K412" s="900"/>
      <c r="L412" s="900"/>
      <c r="M412" s="437" t="s">
        <v>348</v>
      </c>
      <c r="N412" s="638">
        <v>1</v>
      </c>
      <c r="O412" s="434">
        <v>14000</v>
      </c>
      <c r="P412" s="434">
        <f t="shared" si="120"/>
        <v>14000</v>
      </c>
      <c r="Q412" s="46"/>
      <c r="R412" s="434">
        <v>14000</v>
      </c>
      <c r="S412" s="434"/>
      <c r="T412" s="47"/>
      <c r="U412" s="47"/>
      <c r="V412" s="47">
        <f t="shared" si="117"/>
        <v>0</v>
      </c>
      <c r="W412" s="47"/>
      <c r="X412" s="47">
        <f t="shared" si="118"/>
        <v>0</v>
      </c>
      <c r="Y412" s="47"/>
      <c r="Z412" s="88">
        <f t="shared" si="119"/>
        <v>0</v>
      </c>
      <c r="AE412" s="10"/>
      <c r="AN412" s="3"/>
      <c r="AO412" s="16"/>
      <c r="AP412" s="16"/>
      <c r="AQ412" s="16"/>
      <c r="AR412" s="16"/>
      <c r="AS412" s="16"/>
      <c r="AT412" s="16"/>
      <c r="AU412" s="16"/>
    </row>
    <row r="413" spans="1:47" ht="162.75" customHeight="1" hidden="1">
      <c r="A413" s="428"/>
      <c r="B413" s="156"/>
      <c r="C413" s="156"/>
      <c r="D413" s="156"/>
      <c r="E413" s="156"/>
      <c r="F413" s="156"/>
      <c r="G413" s="156"/>
      <c r="H413" s="156"/>
      <c r="I413" s="856"/>
      <c r="J413" s="900"/>
      <c r="K413" s="900"/>
      <c r="L413" s="900"/>
      <c r="M413" s="437" t="s">
        <v>349</v>
      </c>
      <c r="N413" s="638">
        <v>2</v>
      </c>
      <c r="O413" s="434">
        <v>20000</v>
      </c>
      <c r="P413" s="434">
        <f t="shared" si="120"/>
        <v>40000</v>
      </c>
      <c r="Q413" s="46"/>
      <c r="R413" s="434">
        <v>40000</v>
      </c>
      <c r="S413" s="434"/>
      <c r="T413" s="47"/>
      <c r="U413" s="47"/>
      <c r="V413" s="47">
        <f t="shared" si="117"/>
        <v>0</v>
      </c>
      <c r="W413" s="47"/>
      <c r="X413" s="47">
        <f t="shared" si="118"/>
        <v>0</v>
      </c>
      <c r="Y413" s="47"/>
      <c r="Z413" s="88">
        <f t="shared" si="119"/>
        <v>0</v>
      </c>
      <c r="AE413" s="10"/>
      <c r="AN413" s="3"/>
      <c r="AO413" s="16"/>
      <c r="AP413" s="16"/>
      <c r="AQ413" s="16"/>
      <c r="AR413" s="16"/>
      <c r="AS413" s="16"/>
      <c r="AT413" s="16"/>
      <c r="AU413" s="16"/>
    </row>
    <row r="414" spans="1:47" ht="139.5" customHeight="1" hidden="1">
      <c r="A414" s="428"/>
      <c r="B414" s="156"/>
      <c r="C414" s="156"/>
      <c r="D414" s="156"/>
      <c r="E414" s="156"/>
      <c r="F414" s="156"/>
      <c r="G414" s="156"/>
      <c r="H414" s="156"/>
      <c r="I414" s="856"/>
      <c r="J414" s="900"/>
      <c r="K414" s="900"/>
      <c r="L414" s="900"/>
      <c r="M414" s="437" t="s">
        <v>350</v>
      </c>
      <c r="N414" s="638">
        <v>1</v>
      </c>
      <c r="O414" s="434">
        <v>20000</v>
      </c>
      <c r="P414" s="434">
        <f t="shared" si="120"/>
        <v>20000</v>
      </c>
      <c r="Q414" s="46"/>
      <c r="R414" s="434">
        <v>20000</v>
      </c>
      <c r="S414" s="434"/>
      <c r="T414" s="47"/>
      <c r="U414" s="47"/>
      <c r="V414" s="47">
        <f t="shared" si="117"/>
        <v>0</v>
      </c>
      <c r="W414" s="47"/>
      <c r="X414" s="47">
        <f t="shared" si="118"/>
        <v>0</v>
      </c>
      <c r="Y414" s="47"/>
      <c r="Z414" s="88">
        <f t="shared" si="119"/>
        <v>0</v>
      </c>
      <c r="AE414" s="10"/>
      <c r="AN414" s="3"/>
      <c r="AO414" s="16"/>
      <c r="AP414" s="16"/>
      <c r="AQ414" s="16"/>
      <c r="AR414" s="16"/>
      <c r="AS414" s="16"/>
      <c r="AT414" s="16"/>
      <c r="AU414" s="16"/>
    </row>
    <row r="415" spans="1:47" ht="116.25" customHeight="1" hidden="1">
      <c r="A415" s="428"/>
      <c r="B415" s="156"/>
      <c r="C415" s="156"/>
      <c r="D415" s="156"/>
      <c r="E415" s="156"/>
      <c r="F415" s="156"/>
      <c r="G415" s="156"/>
      <c r="H415" s="156"/>
      <c r="I415" s="856"/>
      <c r="J415" s="900"/>
      <c r="K415" s="900"/>
      <c r="L415" s="900"/>
      <c r="M415" s="437" t="s">
        <v>351</v>
      </c>
      <c r="N415" s="638">
        <v>1</v>
      </c>
      <c r="O415" s="434">
        <v>8000</v>
      </c>
      <c r="P415" s="434">
        <f t="shared" si="120"/>
        <v>8000</v>
      </c>
      <c r="Q415" s="46"/>
      <c r="R415" s="434">
        <v>8000</v>
      </c>
      <c r="S415" s="434"/>
      <c r="T415" s="47"/>
      <c r="U415" s="47"/>
      <c r="V415" s="47">
        <f t="shared" si="117"/>
        <v>0</v>
      </c>
      <c r="W415" s="47"/>
      <c r="X415" s="47">
        <f t="shared" si="118"/>
        <v>0</v>
      </c>
      <c r="Y415" s="47"/>
      <c r="Z415" s="88">
        <f t="shared" si="119"/>
        <v>0</v>
      </c>
      <c r="AE415" s="10"/>
      <c r="AN415" s="3"/>
      <c r="AO415" s="16"/>
      <c r="AP415" s="16"/>
      <c r="AQ415" s="16"/>
      <c r="AR415" s="16"/>
      <c r="AS415" s="16"/>
      <c r="AT415" s="16"/>
      <c r="AU415" s="16"/>
    </row>
    <row r="416" spans="1:47" ht="139.5" customHeight="1" hidden="1">
      <c r="A416" s="428"/>
      <c r="B416" s="156"/>
      <c r="C416" s="156"/>
      <c r="D416" s="156"/>
      <c r="E416" s="156"/>
      <c r="F416" s="156"/>
      <c r="G416" s="156"/>
      <c r="H416" s="156"/>
      <c r="I416" s="856"/>
      <c r="J416" s="900"/>
      <c r="K416" s="900"/>
      <c r="L416" s="900"/>
      <c r="M416" s="437" t="s">
        <v>363</v>
      </c>
      <c r="N416" s="638">
        <v>1</v>
      </c>
      <c r="O416" s="434">
        <v>17600</v>
      </c>
      <c r="P416" s="434">
        <f t="shared" si="120"/>
        <v>17600</v>
      </c>
      <c r="Q416" s="46"/>
      <c r="R416" s="434">
        <v>17600</v>
      </c>
      <c r="S416" s="434"/>
      <c r="T416" s="47"/>
      <c r="U416" s="47"/>
      <c r="V416" s="47">
        <f t="shared" si="117"/>
        <v>0</v>
      </c>
      <c r="W416" s="47"/>
      <c r="X416" s="47">
        <f t="shared" si="118"/>
        <v>0</v>
      </c>
      <c r="Y416" s="47"/>
      <c r="Z416" s="88">
        <f t="shared" si="119"/>
        <v>0</v>
      </c>
      <c r="AE416" s="10"/>
      <c r="AN416" s="3"/>
      <c r="AO416" s="16"/>
      <c r="AP416" s="16"/>
      <c r="AQ416" s="16"/>
      <c r="AR416" s="16"/>
      <c r="AS416" s="16"/>
      <c r="AT416" s="16"/>
      <c r="AU416" s="16"/>
    </row>
    <row r="417" spans="1:47" ht="162.75" customHeight="1" hidden="1">
      <c r="A417" s="428"/>
      <c r="B417" s="156"/>
      <c r="C417" s="156"/>
      <c r="D417" s="156"/>
      <c r="E417" s="156"/>
      <c r="F417" s="156"/>
      <c r="G417" s="156"/>
      <c r="H417" s="156"/>
      <c r="I417" s="856"/>
      <c r="J417" s="900"/>
      <c r="K417" s="900"/>
      <c r="L417" s="900"/>
      <c r="M417" s="437" t="s">
        <v>364</v>
      </c>
      <c r="N417" s="638">
        <v>5</v>
      </c>
      <c r="O417" s="434">
        <v>20000</v>
      </c>
      <c r="P417" s="434">
        <f t="shared" si="120"/>
        <v>100000</v>
      </c>
      <c r="Q417" s="46"/>
      <c r="R417" s="434">
        <v>100000</v>
      </c>
      <c r="S417" s="434"/>
      <c r="T417" s="47"/>
      <c r="U417" s="47"/>
      <c r="V417" s="47">
        <f t="shared" si="117"/>
        <v>0</v>
      </c>
      <c r="W417" s="47"/>
      <c r="X417" s="47">
        <f t="shared" si="118"/>
        <v>0</v>
      </c>
      <c r="Y417" s="47"/>
      <c r="Z417" s="88">
        <f t="shared" si="119"/>
        <v>0</v>
      </c>
      <c r="AE417" s="10"/>
      <c r="AN417" s="3"/>
      <c r="AO417" s="16"/>
      <c r="AP417" s="16"/>
      <c r="AQ417" s="16"/>
      <c r="AR417" s="16"/>
      <c r="AS417" s="16"/>
      <c r="AT417" s="16"/>
      <c r="AU417" s="16"/>
    </row>
    <row r="418" spans="1:47" ht="209.25" customHeight="1" hidden="1">
      <c r="A418" s="428"/>
      <c r="B418" s="156"/>
      <c r="C418" s="156"/>
      <c r="D418" s="156"/>
      <c r="E418" s="156"/>
      <c r="F418" s="156"/>
      <c r="G418" s="156"/>
      <c r="H418" s="156"/>
      <c r="I418" s="856"/>
      <c r="J418" s="900"/>
      <c r="K418" s="900"/>
      <c r="L418" s="900"/>
      <c r="M418" s="437" t="s">
        <v>365</v>
      </c>
      <c r="N418" s="638">
        <v>1</v>
      </c>
      <c r="O418" s="434">
        <v>3000</v>
      </c>
      <c r="P418" s="434">
        <f t="shared" si="120"/>
        <v>3000</v>
      </c>
      <c r="Q418" s="46"/>
      <c r="R418" s="434">
        <v>3000</v>
      </c>
      <c r="S418" s="434"/>
      <c r="T418" s="47"/>
      <c r="U418" s="47"/>
      <c r="V418" s="47">
        <f t="shared" si="117"/>
        <v>0</v>
      </c>
      <c r="W418" s="47"/>
      <c r="X418" s="47">
        <f t="shared" si="118"/>
        <v>0</v>
      </c>
      <c r="Y418" s="47"/>
      <c r="Z418" s="88">
        <f t="shared" si="119"/>
        <v>0</v>
      </c>
      <c r="AE418" s="10"/>
      <c r="AN418" s="3"/>
      <c r="AO418" s="16"/>
      <c r="AP418" s="16"/>
      <c r="AQ418" s="16"/>
      <c r="AR418" s="16"/>
      <c r="AS418" s="16"/>
      <c r="AT418" s="16"/>
      <c r="AU418" s="16"/>
    </row>
    <row r="419" spans="1:47" ht="162.75" customHeight="1" hidden="1">
      <c r="A419" s="428"/>
      <c r="B419" s="156"/>
      <c r="C419" s="156"/>
      <c r="D419" s="156"/>
      <c r="E419" s="156"/>
      <c r="F419" s="156"/>
      <c r="G419" s="156"/>
      <c r="H419" s="156"/>
      <c r="I419" s="856"/>
      <c r="J419" s="900"/>
      <c r="K419" s="900"/>
      <c r="L419" s="900"/>
      <c r="M419" s="437" t="s">
        <v>366</v>
      </c>
      <c r="N419" s="638">
        <v>1</v>
      </c>
      <c r="O419" s="434">
        <v>24000</v>
      </c>
      <c r="P419" s="434">
        <f t="shared" si="120"/>
        <v>24000</v>
      </c>
      <c r="Q419" s="46"/>
      <c r="R419" s="434"/>
      <c r="S419" s="434">
        <v>24000</v>
      </c>
      <c r="T419" s="47"/>
      <c r="U419" s="47"/>
      <c r="V419" s="47">
        <f t="shared" si="117"/>
        <v>0</v>
      </c>
      <c r="W419" s="47"/>
      <c r="X419" s="47">
        <f t="shared" si="118"/>
        <v>0</v>
      </c>
      <c r="Y419" s="47"/>
      <c r="Z419" s="88">
        <f t="shared" si="119"/>
        <v>0</v>
      </c>
      <c r="AE419" s="10"/>
      <c r="AN419" s="3"/>
      <c r="AO419" s="16"/>
      <c r="AP419" s="16"/>
      <c r="AQ419" s="16"/>
      <c r="AR419" s="16"/>
      <c r="AS419" s="16"/>
      <c r="AT419" s="16"/>
      <c r="AU419" s="16"/>
    </row>
    <row r="420" spans="1:47" ht="186" customHeight="1" hidden="1">
      <c r="A420" s="428"/>
      <c r="B420" s="156"/>
      <c r="C420" s="156"/>
      <c r="D420" s="156"/>
      <c r="E420" s="156"/>
      <c r="F420" s="156"/>
      <c r="G420" s="156"/>
      <c r="H420" s="156"/>
      <c r="I420" s="856"/>
      <c r="J420" s="900"/>
      <c r="K420" s="900"/>
      <c r="L420" s="900"/>
      <c r="M420" s="437" t="s">
        <v>352</v>
      </c>
      <c r="N420" s="638">
        <v>2</v>
      </c>
      <c r="O420" s="434">
        <v>8000</v>
      </c>
      <c r="P420" s="434">
        <f t="shared" si="120"/>
        <v>16000</v>
      </c>
      <c r="Q420" s="46"/>
      <c r="R420" s="434"/>
      <c r="S420" s="434">
        <v>16000</v>
      </c>
      <c r="T420" s="47"/>
      <c r="U420" s="47"/>
      <c r="V420" s="47">
        <f t="shared" si="117"/>
        <v>0</v>
      </c>
      <c r="W420" s="47"/>
      <c r="X420" s="47">
        <f t="shared" si="118"/>
        <v>0</v>
      </c>
      <c r="Y420" s="47"/>
      <c r="Z420" s="88">
        <f t="shared" si="119"/>
        <v>0</v>
      </c>
      <c r="AE420" s="10"/>
      <c r="AN420" s="3"/>
      <c r="AO420" s="16"/>
      <c r="AP420" s="16"/>
      <c r="AQ420" s="16"/>
      <c r="AR420" s="16"/>
      <c r="AS420" s="16"/>
      <c r="AT420" s="16"/>
      <c r="AU420" s="16"/>
    </row>
    <row r="421" spans="1:47" ht="162.75" customHeight="1" hidden="1">
      <c r="A421" s="428"/>
      <c r="B421" s="156"/>
      <c r="C421" s="156"/>
      <c r="D421" s="156"/>
      <c r="E421" s="156"/>
      <c r="F421" s="156"/>
      <c r="G421" s="156"/>
      <c r="H421" s="156"/>
      <c r="I421" s="856"/>
      <c r="J421" s="900"/>
      <c r="K421" s="900"/>
      <c r="L421" s="900"/>
      <c r="M421" s="437" t="s">
        <v>367</v>
      </c>
      <c r="N421" s="638">
        <v>1</v>
      </c>
      <c r="O421" s="434">
        <v>20000</v>
      </c>
      <c r="P421" s="434">
        <f t="shared" si="120"/>
        <v>20000</v>
      </c>
      <c r="Q421" s="46"/>
      <c r="R421" s="434"/>
      <c r="S421" s="434">
        <v>20000</v>
      </c>
      <c r="T421" s="47"/>
      <c r="U421" s="47"/>
      <c r="V421" s="47">
        <f t="shared" si="117"/>
        <v>0</v>
      </c>
      <c r="W421" s="47"/>
      <c r="X421" s="47">
        <f t="shared" si="118"/>
        <v>0</v>
      </c>
      <c r="Y421" s="47"/>
      <c r="Z421" s="88">
        <f t="shared" si="119"/>
        <v>0</v>
      </c>
      <c r="AE421" s="10"/>
      <c r="AN421" s="3"/>
      <c r="AO421" s="16"/>
      <c r="AP421" s="16"/>
      <c r="AQ421" s="16"/>
      <c r="AR421" s="16"/>
      <c r="AS421" s="16"/>
      <c r="AT421" s="16"/>
      <c r="AU421" s="16"/>
    </row>
    <row r="422" spans="1:47" ht="116.25" customHeight="1" hidden="1">
      <c r="A422" s="428"/>
      <c r="B422" s="156"/>
      <c r="C422" s="156"/>
      <c r="D422" s="156"/>
      <c r="E422" s="156"/>
      <c r="F422" s="156"/>
      <c r="G422" s="156"/>
      <c r="H422" s="156"/>
      <c r="I422" s="856"/>
      <c r="J422" s="900"/>
      <c r="K422" s="900"/>
      <c r="L422" s="900"/>
      <c r="M422" s="437" t="s">
        <v>368</v>
      </c>
      <c r="N422" s="638">
        <v>1</v>
      </c>
      <c r="O422" s="434">
        <v>5000</v>
      </c>
      <c r="P422" s="434">
        <f t="shared" si="120"/>
        <v>5000</v>
      </c>
      <c r="Q422" s="46"/>
      <c r="R422" s="434"/>
      <c r="S422" s="434">
        <v>5000</v>
      </c>
      <c r="T422" s="47"/>
      <c r="U422" s="47"/>
      <c r="V422" s="47">
        <f t="shared" si="117"/>
        <v>0</v>
      </c>
      <c r="W422" s="47"/>
      <c r="X422" s="47">
        <f t="shared" si="118"/>
        <v>0</v>
      </c>
      <c r="Y422" s="47"/>
      <c r="Z422" s="88">
        <f t="shared" si="119"/>
        <v>0</v>
      </c>
      <c r="AE422" s="10"/>
      <c r="AN422" s="3"/>
      <c r="AO422" s="16"/>
      <c r="AP422" s="16"/>
      <c r="AQ422" s="16"/>
      <c r="AR422" s="16"/>
      <c r="AS422" s="16"/>
      <c r="AT422" s="16"/>
      <c r="AU422" s="16"/>
    </row>
    <row r="423" spans="1:47" ht="186" customHeight="1" hidden="1">
      <c r="A423" s="428"/>
      <c r="B423" s="156"/>
      <c r="C423" s="156"/>
      <c r="D423" s="156"/>
      <c r="E423" s="156"/>
      <c r="F423" s="156"/>
      <c r="G423" s="156"/>
      <c r="H423" s="156"/>
      <c r="I423" s="856"/>
      <c r="J423" s="900"/>
      <c r="K423" s="900"/>
      <c r="L423" s="900"/>
      <c r="M423" s="437" t="s">
        <v>353</v>
      </c>
      <c r="N423" s="638">
        <v>5</v>
      </c>
      <c r="O423" s="434">
        <v>12400</v>
      </c>
      <c r="P423" s="434">
        <f t="shared" si="120"/>
        <v>62000</v>
      </c>
      <c r="Q423" s="46"/>
      <c r="R423" s="434"/>
      <c r="S423" s="434">
        <v>62000</v>
      </c>
      <c r="T423" s="47"/>
      <c r="U423" s="47"/>
      <c r="V423" s="47">
        <f t="shared" si="117"/>
        <v>0</v>
      </c>
      <c r="W423" s="47"/>
      <c r="X423" s="47">
        <f t="shared" si="118"/>
        <v>0</v>
      </c>
      <c r="Y423" s="47"/>
      <c r="Z423" s="88">
        <f t="shared" si="119"/>
        <v>0</v>
      </c>
      <c r="AE423" s="10"/>
      <c r="AN423" s="3"/>
      <c r="AO423" s="16"/>
      <c r="AP423" s="16"/>
      <c r="AQ423" s="16"/>
      <c r="AR423" s="16"/>
      <c r="AS423" s="16"/>
      <c r="AT423" s="16"/>
      <c r="AU423" s="16"/>
    </row>
    <row r="424" spans="1:47" ht="162.75" customHeight="1" hidden="1">
      <c r="A424" s="428"/>
      <c r="B424" s="156"/>
      <c r="C424" s="156"/>
      <c r="D424" s="156"/>
      <c r="E424" s="156"/>
      <c r="F424" s="156"/>
      <c r="G424" s="156"/>
      <c r="H424" s="156"/>
      <c r="I424" s="856"/>
      <c r="J424" s="900"/>
      <c r="K424" s="900"/>
      <c r="L424" s="900"/>
      <c r="M424" s="437" t="s">
        <v>369</v>
      </c>
      <c r="N424" s="638">
        <v>1</v>
      </c>
      <c r="O424" s="434">
        <v>20000</v>
      </c>
      <c r="P424" s="434">
        <f t="shared" si="120"/>
        <v>20000</v>
      </c>
      <c r="Q424" s="46"/>
      <c r="R424" s="434"/>
      <c r="S424" s="434">
        <v>20000</v>
      </c>
      <c r="T424" s="47"/>
      <c r="U424" s="47"/>
      <c r="V424" s="47">
        <f t="shared" si="117"/>
        <v>0</v>
      </c>
      <c r="W424" s="47"/>
      <c r="X424" s="47">
        <f t="shared" si="118"/>
        <v>0</v>
      </c>
      <c r="Y424" s="47"/>
      <c r="Z424" s="88">
        <f t="shared" si="119"/>
        <v>0</v>
      </c>
      <c r="AE424" s="10"/>
      <c r="AN424" s="3"/>
      <c r="AO424" s="16"/>
      <c r="AP424" s="16"/>
      <c r="AQ424" s="16"/>
      <c r="AR424" s="16"/>
      <c r="AS424" s="16"/>
      <c r="AT424" s="16"/>
      <c r="AU424" s="16"/>
    </row>
    <row r="425" spans="1:47" ht="139.5" customHeight="1" hidden="1">
      <c r="A425" s="428"/>
      <c r="B425" s="156"/>
      <c r="C425" s="156"/>
      <c r="D425" s="156"/>
      <c r="E425" s="156"/>
      <c r="F425" s="156"/>
      <c r="G425" s="156"/>
      <c r="H425" s="156"/>
      <c r="I425" s="856"/>
      <c r="J425" s="900"/>
      <c r="K425" s="900"/>
      <c r="L425" s="900"/>
      <c r="M425" s="437" t="s">
        <v>354</v>
      </c>
      <c r="N425" s="638">
        <v>3</v>
      </c>
      <c r="O425" s="434">
        <v>14000</v>
      </c>
      <c r="P425" s="434">
        <f t="shared" si="120"/>
        <v>42000</v>
      </c>
      <c r="Q425" s="46"/>
      <c r="R425" s="434"/>
      <c r="S425" s="434">
        <v>42000</v>
      </c>
      <c r="T425" s="47"/>
      <c r="U425" s="47"/>
      <c r="V425" s="47">
        <f t="shared" si="117"/>
        <v>0</v>
      </c>
      <c r="W425" s="47"/>
      <c r="X425" s="47">
        <f t="shared" si="118"/>
        <v>0</v>
      </c>
      <c r="Y425" s="47"/>
      <c r="Z425" s="88">
        <f t="shared" si="119"/>
        <v>0</v>
      </c>
      <c r="AE425" s="10"/>
      <c r="AN425" s="3"/>
      <c r="AO425" s="16"/>
      <c r="AP425" s="16"/>
      <c r="AQ425" s="16"/>
      <c r="AR425" s="16"/>
      <c r="AS425" s="16"/>
      <c r="AT425" s="16"/>
      <c r="AU425" s="16"/>
    </row>
    <row r="426" spans="1:47" ht="162.75" customHeight="1" hidden="1">
      <c r="A426" s="428"/>
      <c r="B426" s="156"/>
      <c r="C426" s="156"/>
      <c r="D426" s="156"/>
      <c r="E426" s="156"/>
      <c r="F426" s="156"/>
      <c r="G426" s="156"/>
      <c r="H426" s="156"/>
      <c r="I426" s="856"/>
      <c r="J426" s="900"/>
      <c r="K426" s="900"/>
      <c r="L426" s="900"/>
      <c r="M426" s="437" t="s">
        <v>355</v>
      </c>
      <c r="N426" s="638">
        <v>4</v>
      </c>
      <c r="O426" s="434">
        <v>6400</v>
      </c>
      <c r="P426" s="434">
        <f t="shared" si="120"/>
        <v>25600</v>
      </c>
      <c r="Q426" s="46"/>
      <c r="R426" s="434"/>
      <c r="S426" s="434">
        <v>25600</v>
      </c>
      <c r="T426" s="47"/>
      <c r="U426" s="47"/>
      <c r="V426" s="47">
        <f t="shared" si="117"/>
        <v>0</v>
      </c>
      <c r="W426" s="47"/>
      <c r="X426" s="47">
        <f t="shared" si="118"/>
        <v>0</v>
      </c>
      <c r="Y426" s="47"/>
      <c r="Z426" s="88">
        <f t="shared" si="119"/>
        <v>0</v>
      </c>
      <c r="AE426" s="10"/>
      <c r="AN426" s="3"/>
      <c r="AO426" s="16"/>
      <c r="AP426" s="16"/>
      <c r="AQ426" s="16"/>
      <c r="AR426" s="16"/>
      <c r="AS426" s="16"/>
      <c r="AT426" s="16"/>
      <c r="AU426" s="16"/>
    </row>
    <row r="427" spans="1:47" ht="139.5" customHeight="1" hidden="1">
      <c r="A427" s="428"/>
      <c r="B427" s="156"/>
      <c r="C427" s="156"/>
      <c r="D427" s="156"/>
      <c r="E427" s="156"/>
      <c r="F427" s="156"/>
      <c r="G427" s="156"/>
      <c r="H427" s="156"/>
      <c r="I427" s="856"/>
      <c r="J427" s="900"/>
      <c r="K427" s="900"/>
      <c r="L427" s="900"/>
      <c r="M427" s="437" t="s">
        <v>370</v>
      </c>
      <c r="N427" s="638">
        <v>1</v>
      </c>
      <c r="O427" s="434">
        <v>8000</v>
      </c>
      <c r="P427" s="434">
        <f t="shared" si="120"/>
        <v>8000</v>
      </c>
      <c r="Q427" s="46"/>
      <c r="R427" s="434"/>
      <c r="S427" s="434">
        <v>8000</v>
      </c>
      <c r="T427" s="47"/>
      <c r="U427" s="47"/>
      <c r="V427" s="47">
        <f t="shared" si="117"/>
        <v>0</v>
      </c>
      <c r="W427" s="47"/>
      <c r="X427" s="47">
        <f t="shared" si="118"/>
        <v>0</v>
      </c>
      <c r="Y427" s="47"/>
      <c r="Z427" s="88">
        <f t="shared" si="119"/>
        <v>0</v>
      </c>
      <c r="AE427" s="10"/>
      <c r="AN427" s="3"/>
      <c r="AO427" s="16"/>
      <c r="AP427" s="16"/>
      <c r="AQ427" s="16"/>
      <c r="AR427" s="16"/>
      <c r="AS427" s="16"/>
      <c r="AT427" s="16"/>
      <c r="AU427" s="16"/>
    </row>
    <row r="428" spans="1:47" ht="139.5" customHeight="1" hidden="1">
      <c r="A428" s="428"/>
      <c r="B428" s="156"/>
      <c r="C428" s="156"/>
      <c r="D428" s="156"/>
      <c r="E428" s="156"/>
      <c r="F428" s="156"/>
      <c r="G428" s="156"/>
      <c r="H428" s="156"/>
      <c r="I428" s="856"/>
      <c r="J428" s="900"/>
      <c r="K428" s="900"/>
      <c r="L428" s="900"/>
      <c r="M428" s="437" t="s">
        <v>356</v>
      </c>
      <c r="N428" s="638">
        <v>1</v>
      </c>
      <c r="O428" s="434">
        <v>6400</v>
      </c>
      <c r="P428" s="434">
        <f t="shared" si="120"/>
        <v>6400</v>
      </c>
      <c r="Q428" s="46"/>
      <c r="R428" s="434"/>
      <c r="S428" s="434">
        <v>6400</v>
      </c>
      <c r="T428" s="47"/>
      <c r="U428" s="47"/>
      <c r="V428" s="47">
        <f t="shared" si="117"/>
        <v>0</v>
      </c>
      <c r="W428" s="47"/>
      <c r="X428" s="47">
        <f t="shared" si="118"/>
        <v>0</v>
      </c>
      <c r="Y428" s="47"/>
      <c r="Z428" s="88">
        <f t="shared" si="119"/>
        <v>0</v>
      </c>
      <c r="AE428" s="10"/>
      <c r="AN428" s="3"/>
      <c r="AO428" s="16"/>
      <c r="AP428" s="16"/>
      <c r="AQ428" s="16"/>
      <c r="AR428" s="16"/>
      <c r="AS428" s="16"/>
      <c r="AT428" s="16"/>
      <c r="AU428" s="16"/>
    </row>
    <row r="429" spans="1:47" ht="162.75" customHeight="1" hidden="1">
      <c r="A429" s="428"/>
      <c r="B429" s="156"/>
      <c r="C429" s="156"/>
      <c r="D429" s="156"/>
      <c r="E429" s="156"/>
      <c r="F429" s="156"/>
      <c r="G429" s="156"/>
      <c r="H429" s="156"/>
      <c r="I429" s="856"/>
      <c r="J429" s="900"/>
      <c r="K429" s="900"/>
      <c r="L429" s="900"/>
      <c r="M429" s="437" t="s">
        <v>357</v>
      </c>
      <c r="N429" s="638">
        <v>1</v>
      </c>
      <c r="O429" s="434">
        <v>6400</v>
      </c>
      <c r="P429" s="434">
        <f t="shared" si="120"/>
        <v>6400</v>
      </c>
      <c r="Q429" s="46"/>
      <c r="R429" s="434"/>
      <c r="S429" s="434">
        <v>6400</v>
      </c>
      <c r="T429" s="47"/>
      <c r="U429" s="47"/>
      <c r="V429" s="47">
        <f t="shared" si="117"/>
        <v>0</v>
      </c>
      <c r="W429" s="47"/>
      <c r="X429" s="47">
        <f t="shared" si="118"/>
        <v>0</v>
      </c>
      <c r="Y429" s="47"/>
      <c r="Z429" s="88">
        <f t="shared" si="119"/>
        <v>0</v>
      </c>
      <c r="AE429" s="10"/>
      <c r="AN429" s="3"/>
      <c r="AO429" s="16"/>
      <c r="AP429" s="16"/>
      <c r="AQ429" s="16"/>
      <c r="AR429" s="16"/>
      <c r="AS429" s="16"/>
      <c r="AT429" s="16"/>
      <c r="AU429" s="16"/>
    </row>
    <row r="430" spans="1:47" ht="139.5" customHeight="1" hidden="1">
      <c r="A430" s="428"/>
      <c r="B430" s="156"/>
      <c r="C430" s="156"/>
      <c r="D430" s="156"/>
      <c r="E430" s="156"/>
      <c r="F430" s="156"/>
      <c r="G430" s="156"/>
      <c r="H430" s="156"/>
      <c r="I430" s="856"/>
      <c r="J430" s="900"/>
      <c r="K430" s="900"/>
      <c r="L430" s="900"/>
      <c r="M430" s="437" t="s">
        <v>371</v>
      </c>
      <c r="N430" s="638">
        <v>2</v>
      </c>
      <c r="O430" s="434">
        <v>6400</v>
      </c>
      <c r="P430" s="434">
        <f t="shared" si="120"/>
        <v>12800</v>
      </c>
      <c r="Q430" s="46"/>
      <c r="R430" s="434"/>
      <c r="S430" s="434">
        <v>12800</v>
      </c>
      <c r="T430" s="47"/>
      <c r="U430" s="47"/>
      <c r="V430" s="47">
        <f t="shared" si="117"/>
        <v>0</v>
      </c>
      <c r="W430" s="47"/>
      <c r="X430" s="47">
        <f t="shared" si="118"/>
        <v>0</v>
      </c>
      <c r="Y430" s="47"/>
      <c r="Z430" s="88">
        <f t="shared" si="119"/>
        <v>0</v>
      </c>
      <c r="AE430" s="10"/>
      <c r="AN430" s="3"/>
      <c r="AO430" s="16"/>
      <c r="AP430" s="16"/>
      <c r="AQ430" s="16"/>
      <c r="AR430" s="16"/>
      <c r="AS430" s="16"/>
      <c r="AT430" s="16"/>
      <c r="AU430" s="16"/>
    </row>
    <row r="431" spans="1:47" ht="116.25" customHeight="1" hidden="1">
      <c r="A431" s="428"/>
      <c r="B431" s="156"/>
      <c r="C431" s="156"/>
      <c r="D431" s="156"/>
      <c r="E431" s="156"/>
      <c r="F431" s="156"/>
      <c r="G431" s="156"/>
      <c r="H431" s="156"/>
      <c r="I431" s="856"/>
      <c r="J431" s="900"/>
      <c r="K431" s="900"/>
      <c r="L431" s="900"/>
      <c r="M431" s="437" t="s">
        <v>358</v>
      </c>
      <c r="N431" s="638">
        <v>1</v>
      </c>
      <c r="O431" s="434">
        <v>8000</v>
      </c>
      <c r="P431" s="434">
        <f t="shared" si="120"/>
        <v>8000</v>
      </c>
      <c r="Q431" s="46"/>
      <c r="R431" s="434"/>
      <c r="S431" s="434">
        <v>8000</v>
      </c>
      <c r="T431" s="47"/>
      <c r="U431" s="47"/>
      <c r="V431" s="47">
        <f t="shared" si="117"/>
        <v>0</v>
      </c>
      <c r="W431" s="47"/>
      <c r="X431" s="47">
        <f t="shared" si="118"/>
        <v>0</v>
      </c>
      <c r="Y431" s="47"/>
      <c r="Z431" s="88">
        <f t="shared" si="119"/>
        <v>0</v>
      </c>
      <c r="AE431" s="10"/>
      <c r="AN431" s="3"/>
      <c r="AO431" s="16"/>
      <c r="AP431" s="16"/>
      <c r="AQ431" s="16"/>
      <c r="AR431" s="16"/>
      <c r="AS431" s="16"/>
      <c r="AT431" s="16"/>
      <c r="AU431" s="16"/>
    </row>
    <row r="432" spans="1:47" ht="116.25" customHeight="1" hidden="1">
      <c r="A432" s="428"/>
      <c r="B432" s="156"/>
      <c r="C432" s="156"/>
      <c r="D432" s="156"/>
      <c r="E432" s="156"/>
      <c r="F432" s="156"/>
      <c r="G432" s="156"/>
      <c r="H432" s="156"/>
      <c r="I432" s="856"/>
      <c r="J432" s="900"/>
      <c r="K432" s="900"/>
      <c r="L432" s="900"/>
      <c r="M432" s="437" t="s">
        <v>372</v>
      </c>
      <c r="N432" s="638">
        <v>1</v>
      </c>
      <c r="O432" s="434">
        <v>6400</v>
      </c>
      <c r="P432" s="434">
        <f t="shared" si="120"/>
        <v>6400</v>
      </c>
      <c r="Q432" s="46"/>
      <c r="R432" s="434"/>
      <c r="S432" s="434">
        <v>6400</v>
      </c>
      <c r="T432" s="47"/>
      <c r="U432" s="47"/>
      <c r="V432" s="47">
        <f t="shared" si="117"/>
        <v>0</v>
      </c>
      <c r="W432" s="47"/>
      <c r="X432" s="47">
        <f t="shared" si="118"/>
        <v>0</v>
      </c>
      <c r="Y432" s="47"/>
      <c r="Z432" s="88">
        <f t="shared" si="119"/>
        <v>0</v>
      </c>
      <c r="AE432" s="10"/>
      <c r="AN432" s="3"/>
      <c r="AO432" s="16"/>
      <c r="AP432" s="16"/>
      <c r="AQ432" s="16"/>
      <c r="AR432" s="16"/>
      <c r="AS432" s="16"/>
      <c r="AT432" s="16"/>
      <c r="AU432" s="16"/>
    </row>
    <row r="433" spans="1:47" ht="162.75" customHeight="1" hidden="1">
      <c r="A433" s="428"/>
      <c r="B433" s="156"/>
      <c r="C433" s="156"/>
      <c r="D433" s="156"/>
      <c r="E433" s="156"/>
      <c r="F433" s="156"/>
      <c r="G433" s="156"/>
      <c r="H433" s="156"/>
      <c r="I433" s="856"/>
      <c r="J433" s="900"/>
      <c r="K433" s="900"/>
      <c r="L433" s="900"/>
      <c r="M433" s="437" t="s">
        <v>373</v>
      </c>
      <c r="N433" s="638">
        <v>1</v>
      </c>
      <c r="O433" s="434">
        <v>8000</v>
      </c>
      <c r="P433" s="434">
        <f t="shared" si="120"/>
        <v>8000</v>
      </c>
      <c r="Q433" s="46"/>
      <c r="R433" s="434"/>
      <c r="S433" s="434">
        <v>8000</v>
      </c>
      <c r="T433" s="47"/>
      <c r="U433" s="47"/>
      <c r="V433" s="47">
        <f t="shared" si="117"/>
        <v>0</v>
      </c>
      <c r="W433" s="47"/>
      <c r="X433" s="47">
        <f t="shared" si="118"/>
        <v>0</v>
      </c>
      <c r="Y433" s="47"/>
      <c r="Z433" s="88">
        <f t="shared" si="119"/>
        <v>0</v>
      </c>
      <c r="AE433" s="10"/>
      <c r="AN433" s="3"/>
      <c r="AO433" s="16"/>
      <c r="AP433" s="16"/>
      <c r="AQ433" s="16"/>
      <c r="AR433" s="16"/>
      <c r="AS433" s="16"/>
      <c r="AT433" s="16"/>
      <c r="AU433" s="16"/>
    </row>
    <row r="434" spans="1:47" ht="108" customHeight="1">
      <c r="A434" s="428" t="s">
        <v>680</v>
      </c>
      <c r="B434" s="156"/>
      <c r="C434" s="156"/>
      <c r="D434" s="156"/>
      <c r="E434" s="156"/>
      <c r="F434" s="156"/>
      <c r="G434" s="156"/>
      <c r="H434" s="156"/>
      <c r="I434" s="856"/>
      <c r="J434" s="429">
        <v>59400</v>
      </c>
      <c r="K434" s="434">
        <v>131454.56</v>
      </c>
      <c r="L434" s="437"/>
      <c r="M434" s="432" t="s">
        <v>503</v>
      </c>
      <c r="N434" s="638">
        <v>7</v>
      </c>
      <c r="O434" s="433">
        <v>13823</v>
      </c>
      <c r="P434" s="440">
        <v>179700</v>
      </c>
      <c r="Q434" s="440">
        <v>179700</v>
      </c>
      <c r="R434" s="440">
        <v>202000</v>
      </c>
      <c r="S434" s="440">
        <v>304000</v>
      </c>
      <c r="T434" s="47">
        <v>106400</v>
      </c>
      <c r="U434" s="47">
        <v>106400</v>
      </c>
      <c r="V434" s="47">
        <f t="shared" si="117"/>
        <v>106400</v>
      </c>
      <c r="W434" s="47">
        <v>67266</v>
      </c>
      <c r="X434" s="47">
        <f t="shared" si="118"/>
        <v>67266</v>
      </c>
      <c r="Y434" s="47">
        <f>W434</f>
        <v>67266</v>
      </c>
      <c r="Z434" s="88">
        <f t="shared" si="119"/>
        <v>67266</v>
      </c>
      <c r="AE434" s="10"/>
      <c r="AN434" s="3"/>
      <c r="AO434" s="16"/>
      <c r="AP434" s="16"/>
      <c r="AQ434" s="16"/>
      <c r="AR434" s="16"/>
      <c r="AS434" s="16"/>
      <c r="AT434" s="16"/>
      <c r="AU434" s="16"/>
    </row>
    <row r="435" spans="1:47" ht="263.25" hidden="1">
      <c r="A435" s="428" t="s">
        <v>147</v>
      </c>
      <c r="B435" s="156"/>
      <c r="C435" s="156"/>
      <c r="D435" s="156"/>
      <c r="E435" s="156"/>
      <c r="F435" s="156"/>
      <c r="G435" s="156"/>
      <c r="H435" s="156"/>
      <c r="I435" s="856"/>
      <c r="J435" s="429">
        <v>36000</v>
      </c>
      <c r="K435" s="430">
        <v>32000</v>
      </c>
      <c r="L435" s="431"/>
      <c r="M435" s="432" t="s">
        <v>643</v>
      </c>
      <c r="N435" s="638">
        <v>1</v>
      </c>
      <c r="O435" s="433">
        <v>15000</v>
      </c>
      <c r="P435" s="434">
        <v>15000</v>
      </c>
      <c r="Q435" s="46">
        <v>15000</v>
      </c>
      <c r="R435" s="434">
        <v>17000</v>
      </c>
      <c r="S435" s="434">
        <v>160000</v>
      </c>
      <c r="T435" s="47"/>
      <c r="U435" s="47"/>
      <c r="V435" s="47">
        <f t="shared" si="117"/>
        <v>0</v>
      </c>
      <c r="W435" s="47"/>
      <c r="X435" s="47">
        <f t="shared" si="118"/>
        <v>0</v>
      </c>
      <c r="Y435" s="47"/>
      <c r="Z435" s="88">
        <f t="shared" si="119"/>
        <v>0</v>
      </c>
      <c r="AE435" s="10"/>
      <c r="AN435" s="3"/>
      <c r="AO435" s="16"/>
      <c r="AP435" s="16"/>
      <c r="AQ435" s="16"/>
      <c r="AR435" s="16"/>
      <c r="AS435" s="16"/>
      <c r="AT435" s="16"/>
      <c r="AU435" s="16"/>
    </row>
    <row r="436" spans="1:47" ht="60.75" hidden="1">
      <c r="A436" s="441" t="s">
        <v>148</v>
      </c>
      <c r="B436" s="156"/>
      <c r="C436" s="156"/>
      <c r="D436" s="156"/>
      <c r="E436" s="156"/>
      <c r="F436" s="156"/>
      <c r="G436" s="156"/>
      <c r="H436" s="156"/>
      <c r="I436" s="856"/>
      <c r="J436" s="429">
        <v>36580</v>
      </c>
      <c r="K436" s="430">
        <v>8500</v>
      </c>
      <c r="L436" s="431"/>
      <c r="M436" s="442"/>
      <c r="N436" s="640">
        <v>0</v>
      </c>
      <c r="O436" s="443">
        <v>0</v>
      </c>
      <c r="P436" s="430">
        <v>0</v>
      </c>
      <c r="Q436" s="430">
        <v>0</v>
      </c>
      <c r="R436" s="430">
        <v>0</v>
      </c>
      <c r="S436" s="430">
        <v>0</v>
      </c>
      <c r="T436" s="47"/>
      <c r="U436" s="47"/>
      <c r="V436" s="47">
        <f t="shared" si="117"/>
        <v>0</v>
      </c>
      <c r="W436" s="47"/>
      <c r="X436" s="47">
        <f t="shared" si="118"/>
        <v>0</v>
      </c>
      <c r="Y436" s="47"/>
      <c r="Z436" s="88">
        <f t="shared" si="119"/>
        <v>0</v>
      </c>
      <c r="AE436" s="10"/>
      <c r="AN436" s="3"/>
      <c r="AO436" s="16"/>
      <c r="AP436" s="16"/>
      <c r="AQ436" s="16"/>
      <c r="AR436" s="16"/>
      <c r="AS436" s="16"/>
      <c r="AT436" s="16"/>
      <c r="AU436" s="16"/>
    </row>
    <row r="437" spans="1:47" ht="81" hidden="1">
      <c r="A437" s="441" t="s">
        <v>149</v>
      </c>
      <c r="B437" s="156"/>
      <c r="C437" s="156"/>
      <c r="D437" s="156"/>
      <c r="E437" s="156"/>
      <c r="F437" s="156"/>
      <c r="G437" s="156"/>
      <c r="H437" s="156"/>
      <c r="I437" s="856"/>
      <c r="J437" s="434">
        <v>5080</v>
      </c>
      <c r="K437" s="434">
        <v>24000</v>
      </c>
      <c r="L437" s="437"/>
      <c r="M437" s="432" t="s">
        <v>258</v>
      </c>
      <c r="N437" s="637">
        <v>1</v>
      </c>
      <c r="O437" s="433">
        <v>100000</v>
      </c>
      <c r="P437" s="434">
        <v>100000</v>
      </c>
      <c r="Q437" s="434">
        <v>100000</v>
      </c>
      <c r="R437" s="434">
        <v>24000</v>
      </c>
      <c r="S437" s="434">
        <v>24000</v>
      </c>
      <c r="T437" s="47"/>
      <c r="U437" s="47"/>
      <c r="V437" s="47">
        <f t="shared" si="117"/>
        <v>0</v>
      </c>
      <c r="W437" s="47"/>
      <c r="X437" s="47">
        <f t="shared" si="118"/>
        <v>0</v>
      </c>
      <c r="Y437" s="47"/>
      <c r="Z437" s="88">
        <f t="shared" si="119"/>
        <v>0</v>
      </c>
      <c r="AE437" s="10"/>
      <c r="AN437" s="3"/>
      <c r="AO437" s="16"/>
      <c r="AP437" s="16"/>
      <c r="AQ437" s="16"/>
      <c r="AR437" s="16"/>
      <c r="AS437" s="16"/>
      <c r="AT437" s="16"/>
      <c r="AU437" s="16"/>
    </row>
    <row r="438" spans="1:47" ht="243" hidden="1">
      <c r="A438" s="154" t="s">
        <v>150</v>
      </c>
      <c r="B438" s="156"/>
      <c r="C438" s="156"/>
      <c r="D438" s="156"/>
      <c r="E438" s="156"/>
      <c r="F438" s="156"/>
      <c r="G438" s="156"/>
      <c r="H438" s="156"/>
      <c r="I438" s="856"/>
      <c r="J438" s="429">
        <v>0</v>
      </c>
      <c r="K438" s="430">
        <v>100000</v>
      </c>
      <c r="L438" s="444"/>
      <c r="M438" s="432" t="s">
        <v>644</v>
      </c>
      <c r="N438" s="637">
        <v>0</v>
      </c>
      <c r="O438" s="433">
        <v>0</v>
      </c>
      <c r="P438" s="445">
        <v>0</v>
      </c>
      <c r="Q438" s="446">
        <v>0</v>
      </c>
      <c r="R438" s="434">
        <v>15000</v>
      </c>
      <c r="S438" s="434">
        <v>45000</v>
      </c>
      <c r="T438" s="47"/>
      <c r="U438" s="47"/>
      <c r="V438" s="47">
        <f t="shared" si="117"/>
        <v>0</v>
      </c>
      <c r="W438" s="47"/>
      <c r="X438" s="47">
        <f t="shared" si="118"/>
        <v>0</v>
      </c>
      <c r="Y438" s="47"/>
      <c r="Z438" s="88">
        <f t="shared" si="119"/>
        <v>0</v>
      </c>
      <c r="AE438" s="10"/>
      <c r="AN438" s="3"/>
      <c r="AO438" s="16"/>
      <c r="AP438" s="16"/>
      <c r="AQ438" s="16"/>
      <c r="AR438" s="16"/>
      <c r="AS438" s="16"/>
      <c r="AT438" s="16"/>
      <c r="AU438" s="16"/>
    </row>
    <row r="439" spans="1:47" ht="60.75" hidden="1">
      <c r="A439" s="154" t="s">
        <v>30</v>
      </c>
      <c r="B439" s="156"/>
      <c r="C439" s="156"/>
      <c r="D439" s="156"/>
      <c r="E439" s="156"/>
      <c r="F439" s="156"/>
      <c r="G439" s="156"/>
      <c r="H439" s="156"/>
      <c r="I439" s="856"/>
      <c r="J439" s="429">
        <v>0</v>
      </c>
      <c r="K439" s="430">
        <v>32000</v>
      </c>
      <c r="L439" s="431"/>
      <c r="M439" s="442"/>
      <c r="N439" s="641">
        <v>0</v>
      </c>
      <c r="O439" s="447">
        <v>0</v>
      </c>
      <c r="P439" s="447">
        <v>0</v>
      </c>
      <c r="Q439" s="447">
        <v>0</v>
      </c>
      <c r="R439" s="447">
        <v>0</v>
      </c>
      <c r="S439" s="447">
        <v>0</v>
      </c>
      <c r="T439" s="47"/>
      <c r="U439" s="47"/>
      <c r="V439" s="47">
        <f t="shared" si="117"/>
        <v>0</v>
      </c>
      <c r="W439" s="47"/>
      <c r="X439" s="47">
        <f t="shared" si="118"/>
        <v>0</v>
      </c>
      <c r="Y439" s="47"/>
      <c r="Z439" s="88">
        <f t="shared" si="119"/>
        <v>0</v>
      </c>
      <c r="AE439" s="10"/>
      <c r="AN439" s="3"/>
      <c r="AO439" s="16"/>
      <c r="AP439" s="16"/>
      <c r="AQ439" s="16"/>
      <c r="AR439" s="16"/>
      <c r="AS439" s="16"/>
      <c r="AT439" s="16"/>
      <c r="AU439" s="16"/>
    </row>
    <row r="440" spans="1:47" ht="40.5" hidden="1">
      <c r="A440" s="154" t="s">
        <v>39</v>
      </c>
      <c r="B440" s="156"/>
      <c r="C440" s="156"/>
      <c r="D440" s="156"/>
      <c r="E440" s="156"/>
      <c r="F440" s="156"/>
      <c r="G440" s="156"/>
      <c r="H440" s="156"/>
      <c r="I440" s="856"/>
      <c r="J440" s="429"/>
      <c r="K440" s="430"/>
      <c r="L440" s="431"/>
      <c r="M440" s="442"/>
      <c r="N440" s="641">
        <v>2</v>
      </c>
      <c r="O440" s="448">
        <v>40000</v>
      </c>
      <c r="P440" s="448"/>
      <c r="Q440" s="448">
        <v>80000</v>
      </c>
      <c r="R440" s="448">
        <v>0</v>
      </c>
      <c r="S440" s="448">
        <v>0</v>
      </c>
      <c r="T440" s="47"/>
      <c r="U440" s="47"/>
      <c r="V440" s="47">
        <f t="shared" si="117"/>
        <v>0</v>
      </c>
      <c r="W440" s="47"/>
      <c r="X440" s="47">
        <f t="shared" si="118"/>
        <v>0</v>
      </c>
      <c r="Y440" s="47"/>
      <c r="Z440" s="88">
        <f t="shared" si="119"/>
        <v>0</v>
      </c>
      <c r="AE440" s="10"/>
      <c r="AN440" s="3"/>
      <c r="AO440" s="16"/>
      <c r="AP440" s="16"/>
      <c r="AQ440" s="16"/>
      <c r="AR440" s="16"/>
      <c r="AS440" s="16"/>
      <c r="AT440" s="16"/>
      <c r="AU440" s="16"/>
    </row>
    <row r="441" spans="1:47" ht="101.25" hidden="1">
      <c r="A441" s="154" t="s">
        <v>228</v>
      </c>
      <c r="B441" s="156"/>
      <c r="C441" s="156"/>
      <c r="D441" s="156"/>
      <c r="E441" s="156"/>
      <c r="F441" s="156"/>
      <c r="G441" s="156"/>
      <c r="H441" s="156"/>
      <c r="I441" s="856"/>
      <c r="J441" s="429"/>
      <c r="K441" s="430"/>
      <c r="L441" s="431"/>
      <c r="M441" s="442" t="s">
        <v>399</v>
      </c>
      <c r="N441" s="641"/>
      <c r="O441" s="447"/>
      <c r="P441" s="447"/>
      <c r="Q441" s="447"/>
      <c r="R441" s="447"/>
      <c r="S441" s="447"/>
      <c r="T441" s="47"/>
      <c r="U441" s="47"/>
      <c r="V441" s="47">
        <f t="shared" si="117"/>
        <v>0</v>
      </c>
      <c r="W441" s="47"/>
      <c r="X441" s="47">
        <f t="shared" si="118"/>
        <v>0</v>
      </c>
      <c r="Y441" s="47"/>
      <c r="Z441" s="88">
        <f t="shared" si="119"/>
        <v>0</v>
      </c>
      <c r="AE441" s="10"/>
      <c r="AN441" s="3"/>
      <c r="AO441" s="16"/>
      <c r="AP441" s="16"/>
      <c r="AQ441" s="16"/>
      <c r="AR441" s="16"/>
      <c r="AS441" s="16"/>
      <c r="AT441" s="16"/>
      <c r="AU441" s="16"/>
    </row>
    <row r="442" spans="1:47" ht="101.25">
      <c r="A442" s="449" t="s">
        <v>151</v>
      </c>
      <c r="B442" s="156"/>
      <c r="C442" s="156"/>
      <c r="D442" s="156"/>
      <c r="E442" s="156"/>
      <c r="F442" s="156"/>
      <c r="G442" s="156"/>
      <c r="H442" s="156"/>
      <c r="I442" s="856"/>
      <c r="J442" s="429">
        <v>0</v>
      </c>
      <c r="K442" s="430">
        <v>12000</v>
      </c>
      <c r="L442" s="431"/>
      <c r="M442" s="438" t="s">
        <v>516</v>
      </c>
      <c r="N442" s="642">
        <v>1</v>
      </c>
      <c r="O442" s="439">
        <v>8500</v>
      </c>
      <c r="P442" s="450">
        <v>0</v>
      </c>
      <c r="Q442" s="450">
        <v>17000</v>
      </c>
      <c r="R442" s="430">
        <v>0</v>
      </c>
      <c r="S442" s="430">
        <v>0</v>
      </c>
      <c r="T442" s="47">
        <v>12000</v>
      </c>
      <c r="U442" s="47">
        <v>12000</v>
      </c>
      <c r="V442" s="47">
        <f t="shared" si="117"/>
        <v>12000</v>
      </c>
      <c r="W442" s="47">
        <v>7586</v>
      </c>
      <c r="X442" s="47">
        <f t="shared" si="118"/>
        <v>7586</v>
      </c>
      <c r="Y442" s="47">
        <f>W442</f>
        <v>7586</v>
      </c>
      <c r="Z442" s="88">
        <f t="shared" si="119"/>
        <v>7586</v>
      </c>
      <c r="AE442" s="10"/>
      <c r="AN442" s="3"/>
      <c r="AO442" s="16"/>
      <c r="AP442" s="16"/>
      <c r="AQ442" s="16"/>
      <c r="AR442" s="16"/>
      <c r="AS442" s="16"/>
      <c r="AT442" s="16"/>
      <c r="AU442" s="16"/>
    </row>
    <row r="443" spans="1:47" ht="40.5" hidden="1">
      <c r="A443" s="441" t="s">
        <v>152</v>
      </c>
      <c r="B443" s="156"/>
      <c r="C443" s="156"/>
      <c r="D443" s="156"/>
      <c r="E443" s="156"/>
      <c r="F443" s="156"/>
      <c r="G443" s="156"/>
      <c r="H443" s="156"/>
      <c r="I443" s="856"/>
      <c r="J443" s="429">
        <v>9900</v>
      </c>
      <c r="K443" s="430">
        <v>12000</v>
      </c>
      <c r="L443" s="431"/>
      <c r="M443" s="451"/>
      <c r="N443" s="642">
        <v>0</v>
      </c>
      <c r="O443" s="439">
        <v>0</v>
      </c>
      <c r="P443" s="450">
        <v>0</v>
      </c>
      <c r="Q443" s="450">
        <v>0</v>
      </c>
      <c r="R443" s="430">
        <v>0</v>
      </c>
      <c r="S443" s="430">
        <v>0</v>
      </c>
      <c r="T443" s="47"/>
      <c r="U443" s="47"/>
      <c r="V443" s="47">
        <f t="shared" si="117"/>
        <v>0</v>
      </c>
      <c r="W443" s="47"/>
      <c r="X443" s="47">
        <f t="shared" si="118"/>
        <v>0</v>
      </c>
      <c r="Y443" s="47"/>
      <c r="Z443" s="88">
        <f t="shared" si="119"/>
        <v>0</v>
      </c>
      <c r="AE443" s="10"/>
      <c r="AN443" s="3"/>
      <c r="AO443" s="16"/>
      <c r="AP443" s="16"/>
      <c r="AQ443" s="16"/>
      <c r="AR443" s="16"/>
      <c r="AS443" s="16"/>
      <c r="AT443" s="16"/>
      <c r="AU443" s="16"/>
    </row>
    <row r="444" spans="1:47" ht="60.75" hidden="1">
      <c r="A444" s="441" t="s">
        <v>255</v>
      </c>
      <c r="B444" s="856"/>
      <c r="C444" s="856"/>
      <c r="D444" s="856"/>
      <c r="E444" s="856"/>
      <c r="F444" s="856"/>
      <c r="G444" s="856"/>
      <c r="H444" s="856"/>
      <c r="I444" s="856"/>
      <c r="J444" s="447">
        <v>0</v>
      </c>
      <c r="K444" s="430">
        <v>0</v>
      </c>
      <c r="L444" s="431"/>
      <c r="M444" s="438" t="s">
        <v>645</v>
      </c>
      <c r="N444" s="642">
        <v>1</v>
      </c>
      <c r="O444" s="439">
        <v>18000</v>
      </c>
      <c r="P444" s="439">
        <v>18000</v>
      </c>
      <c r="Q444" s="439">
        <v>18000</v>
      </c>
      <c r="R444" s="430">
        <v>0</v>
      </c>
      <c r="S444" s="430">
        <v>0</v>
      </c>
      <c r="T444" s="47"/>
      <c r="U444" s="47"/>
      <c r="V444" s="47">
        <f t="shared" si="117"/>
        <v>0</v>
      </c>
      <c r="W444" s="47"/>
      <c r="X444" s="47">
        <f t="shared" si="118"/>
        <v>0</v>
      </c>
      <c r="Y444" s="47"/>
      <c r="Z444" s="88">
        <f t="shared" si="119"/>
        <v>0</v>
      </c>
      <c r="AE444" s="10"/>
      <c r="AN444" s="3"/>
      <c r="AO444" s="16"/>
      <c r="AP444" s="16"/>
      <c r="AQ444" s="16"/>
      <c r="AR444" s="16"/>
      <c r="AS444" s="16"/>
      <c r="AT444" s="16"/>
      <c r="AU444" s="16"/>
    </row>
    <row r="445" spans="1:47" ht="110.25" customHeight="1">
      <c r="A445" s="441" t="s">
        <v>261</v>
      </c>
      <c r="B445" s="899"/>
      <c r="C445" s="899"/>
      <c r="D445" s="899"/>
      <c r="E445" s="899"/>
      <c r="F445" s="899"/>
      <c r="G445" s="899"/>
      <c r="H445" s="899"/>
      <c r="I445" s="856"/>
      <c r="J445" s="429">
        <v>24000</v>
      </c>
      <c r="K445" s="429">
        <v>0</v>
      </c>
      <c r="L445" s="452"/>
      <c r="M445" s="438" t="s">
        <v>646</v>
      </c>
      <c r="N445" s="642">
        <v>10</v>
      </c>
      <c r="O445" s="439">
        <v>16888.9</v>
      </c>
      <c r="P445" s="439">
        <v>304000</v>
      </c>
      <c r="Q445" s="439">
        <f>P445</f>
        <v>304000</v>
      </c>
      <c r="R445" s="430">
        <v>78000</v>
      </c>
      <c r="S445" s="430">
        <v>26000</v>
      </c>
      <c r="T445" s="47">
        <v>200000</v>
      </c>
      <c r="U445" s="47">
        <v>200000</v>
      </c>
      <c r="V445" s="47">
        <f t="shared" si="117"/>
        <v>200000</v>
      </c>
      <c r="W445" s="47">
        <v>126440</v>
      </c>
      <c r="X445" s="47">
        <f t="shared" si="118"/>
        <v>126440</v>
      </c>
      <c r="Y445" s="47">
        <f>W445</f>
        <v>126440</v>
      </c>
      <c r="Z445" s="88">
        <f t="shared" si="119"/>
        <v>126440</v>
      </c>
      <c r="AE445" s="10"/>
      <c r="AN445" s="3"/>
      <c r="AO445" s="16"/>
      <c r="AP445" s="16"/>
      <c r="AQ445" s="16"/>
      <c r="AR445" s="16"/>
      <c r="AS445" s="16"/>
      <c r="AT445" s="16"/>
      <c r="AU445" s="16"/>
    </row>
    <row r="446" spans="1:47" ht="18" customHeight="1" hidden="1">
      <c r="A446" s="441" t="s">
        <v>256</v>
      </c>
      <c r="B446" s="899"/>
      <c r="C446" s="899"/>
      <c r="D446" s="899"/>
      <c r="E446" s="899"/>
      <c r="F446" s="899"/>
      <c r="G446" s="899"/>
      <c r="H446" s="899"/>
      <c r="I446" s="856"/>
      <c r="J446" s="447">
        <v>5080</v>
      </c>
      <c r="K446" s="430">
        <v>0</v>
      </c>
      <c r="L446" s="452"/>
      <c r="M446" s="438" t="s">
        <v>647</v>
      </c>
      <c r="N446" s="643">
        <v>0</v>
      </c>
      <c r="O446" s="430">
        <v>0</v>
      </c>
      <c r="P446" s="430">
        <v>0</v>
      </c>
      <c r="Q446" s="430">
        <v>0</v>
      </c>
      <c r="R446" s="430">
        <v>0</v>
      </c>
      <c r="S446" s="430">
        <v>25250</v>
      </c>
      <c r="T446" s="47"/>
      <c r="U446" s="47"/>
      <c r="V446" s="47"/>
      <c r="W446" s="47"/>
      <c r="X446" s="47"/>
      <c r="Y446" s="47"/>
      <c r="Z446" s="88"/>
      <c r="AE446" s="10"/>
      <c r="AN446" s="3"/>
      <c r="AO446" s="16"/>
      <c r="AP446" s="16"/>
      <c r="AQ446" s="16"/>
      <c r="AR446" s="16"/>
      <c r="AS446" s="16"/>
      <c r="AT446" s="16"/>
      <c r="AU446" s="16"/>
    </row>
    <row r="447" spans="1:47" ht="224.25" customHeight="1">
      <c r="A447" s="424" t="s">
        <v>692</v>
      </c>
      <c r="B447" s="688" t="s">
        <v>6</v>
      </c>
      <c r="C447" s="688" t="s">
        <v>7</v>
      </c>
      <c r="D447" s="688" t="s">
        <v>153</v>
      </c>
      <c r="E447" s="688" t="s">
        <v>8</v>
      </c>
      <c r="F447" s="688" t="s">
        <v>141</v>
      </c>
      <c r="G447" s="688" t="s">
        <v>500</v>
      </c>
      <c r="H447" s="688" t="s">
        <v>9</v>
      </c>
      <c r="I447" s="216" t="s">
        <v>154</v>
      </c>
      <c r="J447" s="426">
        <v>130200</v>
      </c>
      <c r="K447" s="453">
        <v>195300</v>
      </c>
      <c r="L447" s="454"/>
      <c r="M447" s="455"/>
      <c r="N447" s="644">
        <v>3</v>
      </c>
      <c r="O447" s="456">
        <v>50000</v>
      </c>
      <c r="P447" s="456">
        <f aca="true" t="shared" si="121" ref="P447:Z447">P448+P449</f>
        <v>0</v>
      </c>
      <c r="Q447" s="456">
        <f t="shared" si="121"/>
        <v>195300</v>
      </c>
      <c r="R447" s="456">
        <f t="shared" si="121"/>
        <v>195300</v>
      </c>
      <c r="S447" s="456">
        <f t="shared" si="121"/>
        <v>195300</v>
      </c>
      <c r="T447" s="453">
        <f t="shared" si="121"/>
        <v>130200</v>
      </c>
      <c r="U447" s="117">
        <f t="shared" si="121"/>
        <v>130200</v>
      </c>
      <c r="V447" s="117">
        <f t="shared" si="121"/>
        <v>130200</v>
      </c>
      <c r="W447" s="117">
        <f t="shared" si="121"/>
        <v>97650</v>
      </c>
      <c r="X447" s="117">
        <f t="shared" si="121"/>
        <v>97650</v>
      </c>
      <c r="Y447" s="117">
        <f t="shared" si="121"/>
        <v>97650</v>
      </c>
      <c r="Z447" s="117">
        <f t="shared" si="121"/>
        <v>97650</v>
      </c>
      <c r="AE447" s="10"/>
      <c r="AN447" s="3"/>
      <c r="AO447" s="16"/>
      <c r="AP447" s="16"/>
      <c r="AQ447" s="16"/>
      <c r="AR447" s="16"/>
      <c r="AS447" s="16"/>
      <c r="AT447" s="16"/>
      <c r="AU447" s="16"/>
    </row>
    <row r="448" spans="1:47" ht="74.25" customHeight="1">
      <c r="A448" s="852" t="s">
        <v>59</v>
      </c>
      <c r="B448" s="797"/>
      <c r="C448" s="848"/>
      <c r="D448" s="848"/>
      <c r="E448" s="848"/>
      <c r="F448" s="848"/>
      <c r="G448" s="848"/>
      <c r="H448" s="848"/>
      <c r="I448" s="846" t="s">
        <v>155</v>
      </c>
      <c r="J448" s="429">
        <v>100000</v>
      </c>
      <c r="K448" s="445">
        <v>150000</v>
      </c>
      <c r="L448" s="458"/>
      <c r="M448" s="459"/>
      <c r="N448" s="627">
        <v>3</v>
      </c>
      <c r="O448" s="460">
        <v>50000</v>
      </c>
      <c r="P448" s="460"/>
      <c r="Q448" s="445">
        <v>150000</v>
      </c>
      <c r="R448" s="445">
        <v>150000</v>
      </c>
      <c r="S448" s="445">
        <v>150000</v>
      </c>
      <c r="T448" s="47">
        <v>100000</v>
      </c>
      <c r="U448" s="47">
        <v>100000</v>
      </c>
      <c r="V448" s="47">
        <f>U448</f>
        <v>100000</v>
      </c>
      <c r="W448" s="888">
        <v>97650</v>
      </c>
      <c r="X448" s="807">
        <f>W448</f>
        <v>97650</v>
      </c>
      <c r="Y448" s="888">
        <v>97650</v>
      </c>
      <c r="Z448" s="794">
        <f>Y448</f>
        <v>97650</v>
      </c>
      <c r="AE448" s="10"/>
      <c r="AN448" s="3"/>
      <c r="AO448" s="16"/>
      <c r="AP448" s="16"/>
      <c r="AQ448" s="16"/>
      <c r="AR448" s="16"/>
      <c r="AS448" s="16"/>
      <c r="AT448" s="16"/>
      <c r="AU448" s="16"/>
    </row>
    <row r="449" spans="1:47" ht="66" customHeight="1">
      <c r="A449" s="852"/>
      <c r="B449" s="848"/>
      <c r="C449" s="848"/>
      <c r="D449" s="848"/>
      <c r="E449" s="848"/>
      <c r="F449" s="848"/>
      <c r="G449" s="848"/>
      <c r="H449" s="848"/>
      <c r="I449" s="847"/>
      <c r="J449" s="165">
        <v>30200</v>
      </c>
      <c r="K449" s="445">
        <v>45300</v>
      </c>
      <c r="L449" s="458"/>
      <c r="M449" s="459"/>
      <c r="N449" s="627">
        <v>3</v>
      </c>
      <c r="O449" s="460">
        <f>O448*0.302</f>
        <v>15100</v>
      </c>
      <c r="P449" s="460"/>
      <c r="Q449" s="445">
        <v>45300</v>
      </c>
      <c r="R449" s="445">
        <v>45300</v>
      </c>
      <c r="S449" s="445">
        <v>45300</v>
      </c>
      <c r="T449" s="47">
        <v>30200</v>
      </c>
      <c r="U449" s="47">
        <v>30200</v>
      </c>
      <c r="V449" s="47">
        <f>U449</f>
        <v>30200</v>
      </c>
      <c r="W449" s="888"/>
      <c r="X449" s="808"/>
      <c r="Y449" s="888"/>
      <c r="Z449" s="795"/>
      <c r="AE449" s="10"/>
      <c r="AN449" s="3"/>
      <c r="AO449" s="16"/>
      <c r="AP449" s="16"/>
      <c r="AQ449" s="16"/>
      <c r="AR449" s="16"/>
      <c r="AS449" s="16"/>
      <c r="AT449" s="16"/>
      <c r="AU449" s="16"/>
    </row>
    <row r="450" spans="1:47" ht="245.25" customHeight="1">
      <c r="A450" s="424" t="s">
        <v>692</v>
      </c>
      <c r="B450" s="688" t="s">
        <v>6</v>
      </c>
      <c r="C450" s="688" t="s">
        <v>7</v>
      </c>
      <c r="D450" s="688" t="s">
        <v>156</v>
      </c>
      <c r="E450" s="688" t="s">
        <v>8</v>
      </c>
      <c r="F450" s="688" t="s">
        <v>141</v>
      </c>
      <c r="G450" s="688" t="s">
        <v>500</v>
      </c>
      <c r="H450" s="688" t="s">
        <v>9</v>
      </c>
      <c r="I450" s="216" t="s">
        <v>157</v>
      </c>
      <c r="J450" s="418" t="e">
        <f>J451+J524+J541+#REF!+#REF!+J543+#REF!+#REF!</f>
        <v>#REF!</v>
      </c>
      <c r="K450" s="453" t="e">
        <f>K451+K524+K541+#REF!+#REF!+K543</f>
        <v>#REF!</v>
      </c>
      <c r="L450" s="453"/>
      <c r="M450" s="455"/>
      <c r="N450" s="645"/>
      <c r="O450" s="453"/>
      <c r="P450" s="453" t="e">
        <f>P451+P524+#REF!+#REF!+P543</f>
        <v>#REF!</v>
      </c>
      <c r="Q450" s="418" t="e">
        <f>Q451+Q524+Q541+#REF!+Q543+#REF!+#REF!</f>
        <v>#REF!</v>
      </c>
      <c r="R450" s="418" t="e">
        <f>R451+R524+R541</f>
        <v>#REF!</v>
      </c>
      <c r="S450" s="418" t="e">
        <f>S451+S524+S541+#REF!+S543+#REF!+#REF!</f>
        <v>#REF!</v>
      </c>
      <c r="T450" s="418" t="e">
        <f>T451+T524+T541+#REF!+T543+#REF!+#REF!</f>
        <v>#REF!</v>
      </c>
      <c r="U450" s="112">
        <f aca="true" t="shared" si="122" ref="U450:Z450">U451++U524+U541+U543</f>
        <v>11658129</v>
      </c>
      <c r="V450" s="112">
        <f t="shared" si="122"/>
        <v>11658129</v>
      </c>
      <c r="W450" s="112">
        <f t="shared" si="122"/>
        <v>6228145.46</v>
      </c>
      <c r="X450" s="112">
        <f t="shared" si="122"/>
        <v>6228145.46</v>
      </c>
      <c r="Y450" s="112">
        <f t="shared" si="122"/>
        <v>6228145.46</v>
      </c>
      <c r="Z450" s="112">
        <f t="shared" si="122"/>
        <v>6228145.46</v>
      </c>
      <c r="AE450" s="10"/>
      <c r="AN450" s="3"/>
      <c r="AO450" s="16"/>
      <c r="AP450" s="16"/>
      <c r="AQ450" s="16"/>
      <c r="AR450" s="16"/>
      <c r="AS450" s="16"/>
      <c r="AT450" s="16"/>
      <c r="AU450" s="16"/>
    </row>
    <row r="451" spans="1:47" ht="53.25" customHeight="1">
      <c r="A451" s="675" t="s">
        <v>16</v>
      </c>
      <c r="B451" s="889"/>
      <c r="C451" s="827"/>
      <c r="D451" s="827"/>
      <c r="E451" s="827"/>
      <c r="F451" s="827"/>
      <c r="G451" s="827"/>
      <c r="H451" s="827"/>
      <c r="I451" s="846" t="s">
        <v>648</v>
      </c>
      <c r="J451" s="461" t="e">
        <f>J453+J452+369707.22</f>
        <v>#REF!</v>
      </c>
      <c r="K451" s="462" t="e">
        <f>K452+K453</f>
        <v>#REF!</v>
      </c>
      <c r="L451" s="463" t="s">
        <v>74</v>
      </c>
      <c r="M451" s="464"/>
      <c r="N451" s="646">
        <f>N454+N456+N458+N460+N462+N464+N466+N470+N472+N474+N476+N478+N480+N482+N484+N486+N488+N490+N492+N494+N496+N498+N500+N502+N504+N506+N508+N510+N512++N514+N516+N518+N520+N522+N468</f>
        <v>358.25</v>
      </c>
      <c r="O451" s="465"/>
      <c r="P451" s="465" t="e">
        <f>P452+P453</f>
        <v>#REF!</v>
      </c>
      <c r="Q451" s="465" t="e">
        <f>Q452+Q453</f>
        <v>#REF!</v>
      </c>
      <c r="R451" s="465" t="e">
        <f>R452+R453</f>
        <v>#REF!</v>
      </c>
      <c r="S451" s="465" t="e">
        <f>S452+S453</f>
        <v>#REF!</v>
      </c>
      <c r="T451" s="462" t="e">
        <f>T452+T453</f>
        <v>#REF!</v>
      </c>
      <c r="U451" s="118">
        <f aca="true" t="shared" si="123" ref="U451:Z451">U452+U453</f>
        <v>8885522.86</v>
      </c>
      <c r="V451" s="118">
        <f t="shared" si="123"/>
        <v>8885522.86</v>
      </c>
      <c r="W451" s="118">
        <f t="shared" si="123"/>
        <v>4789038.7</v>
      </c>
      <c r="X451" s="118">
        <f t="shared" si="123"/>
        <v>4789038.7</v>
      </c>
      <c r="Y451" s="118">
        <f t="shared" si="123"/>
        <v>4789038.7</v>
      </c>
      <c r="Z451" s="118">
        <f t="shared" si="123"/>
        <v>4789038.7</v>
      </c>
      <c r="AE451" s="10"/>
      <c r="AN451" s="3"/>
      <c r="AO451" s="16"/>
      <c r="AP451" s="16"/>
      <c r="AQ451" s="16"/>
      <c r="AR451" s="16"/>
      <c r="AS451" s="16"/>
      <c r="AT451" s="16"/>
      <c r="AU451" s="16"/>
    </row>
    <row r="452" spans="1:47" ht="40.5">
      <c r="A452" s="457" t="s">
        <v>240</v>
      </c>
      <c r="B452" s="890"/>
      <c r="C452" s="891"/>
      <c r="D452" s="891"/>
      <c r="E452" s="891"/>
      <c r="F452" s="891"/>
      <c r="G452" s="891"/>
      <c r="H452" s="892"/>
      <c r="I452" s="850"/>
      <c r="J452" s="445" t="e">
        <f>J454+J456+J458+J460+J462+J464+J466+#REF!+#REF!+J470+J472+J474+J476+J478+J480+J482+J484+#REF!+#REF!+J486+J488+J490+J492+J494+J496+#REF!+J498+J500+J502+J504+J506+J508+J510+J512+J514+J516+J518+J520+J522+#REF!+#REF!</f>
        <v>#REF!</v>
      </c>
      <c r="K452" s="445" t="e">
        <f>K454+K456+K458+K460+K462+K464+K466+#REF!+#REF!+K470+K472+K474+K476+K478+K480+K482+K484+#REF!+#REF!+K486+K488+K490+K492+K494+K496+#REF!+K498+K500+K502+K504+K506+K508+K510+K512+K514+K516+K518+K520+K522+#REF!</f>
        <v>#REF!</v>
      </c>
      <c r="L452" s="458">
        <v>211</v>
      </c>
      <c r="M452" s="459"/>
      <c r="N452" s="627"/>
      <c r="O452" s="460"/>
      <c r="P452" s="460" t="e">
        <f>P454+P456+P458+P460+P462+P464+P466+#REF!+#REF!+P470+P472+P474+P476+P478+P480+P482+P484+#REF!+#REF!+P486+P488+P490+P492+P494+P496+#REF!+P498+P500+P502+P504+P506+P508+P510+P512+P514+P516+P518+P520+P522+#REF!</f>
        <v>#REF!</v>
      </c>
      <c r="Q452" s="460" t="e">
        <f>Q454+Q456+Q458+Q460+Q462+Q464+Q466+#REF!+#REF!+Q470+Q472+Q474+Q476+Q478+Q480+Q482+Q484+#REF!+#REF!+Q486+Q488+Q490+Q492+Q494+Q496+#REF!+Q498+Q500+Q502+Q504+Q506+Q508+Q510+Q512+Q514+Q516+Q518+Q520+Q522+#REF!</f>
        <v>#REF!</v>
      </c>
      <c r="R452" s="460">
        <f>R454+R456+R458+R460+R462+R464+R466+R470+R472+R474+R476+R478+R480+R482+R484+R486+R488+R490+R492+R494+R496+R498+R500+R502+R504+R506+R508+R510+R512+R514+R516+R518+R520+R522</f>
        <v>6786408</v>
      </c>
      <c r="S452" s="460" t="e">
        <f>S454+S456+S458+S460+S462+S464+S466+#REF!+#REF!+S470+S472+S474+S476+S478+S480+S482+S484+#REF!+#REF!+S486+S488+S490+S492+S494+S496+#REF!+S498+S500+S502+S504+S506+S508+S510+S512+S514+S516+S518+S520+S522+#REF!</f>
        <v>#REF!</v>
      </c>
      <c r="T452" s="445" t="e">
        <f>T454+T456+T458+T460+T462+T464+T466+#REF!+#REF!+T470+T472+T474+T476+T478+T480+T482+T484+#REF!+#REF!+T486+T488+T490+T492+T494+T496+#REF!+T498+T500+T502+T504+T506+T508+T510+T512+T514+T516+T518+T520+T522+#REF!</f>
        <v>#REF!</v>
      </c>
      <c r="U452" s="90">
        <f aca="true" t="shared" si="124" ref="U452:Z453">U454+U456+U458+U460+U462+U464+U466+U470+U472+U474+U476+U478+U480+U482+U484+U486+U488+U490+U492+U494+U496+U498+U500+U502+U504+U506+U508+U510+U512+U516+U518+U520+U522+U514+U468</f>
        <v>6780384</v>
      </c>
      <c r="V452" s="90">
        <f t="shared" si="124"/>
        <v>6780384</v>
      </c>
      <c r="W452" s="90">
        <f t="shared" si="124"/>
        <v>3631387</v>
      </c>
      <c r="X452" s="90">
        <f t="shared" si="124"/>
        <v>3631387</v>
      </c>
      <c r="Y452" s="90">
        <f t="shared" si="124"/>
        <v>3631387</v>
      </c>
      <c r="Z452" s="90">
        <f t="shared" si="124"/>
        <v>3631387</v>
      </c>
      <c r="AE452" s="10"/>
      <c r="AN452" s="3"/>
      <c r="AO452" s="16"/>
      <c r="AP452" s="16"/>
      <c r="AQ452" s="16"/>
      <c r="AR452" s="16"/>
      <c r="AS452" s="16"/>
      <c r="AT452" s="16"/>
      <c r="AU452" s="16"/>
    </row>
    <row r="453" spans="1:47" ht="40.5">
      <c r="A453" s="457" t="s">
        <v>241</v>
      </c>
      <c r="B453" s="893"/>
      <c r="C453" s="894"/>
      <c r="D453" s="894"/>
      <c r="E453" s="894"/>
      <c r="F453" s="894"/>
      <c r="G453" s="894"/>
      <c r="H453" s="895"/>
      <c r="I453" s="850"/>
      <c r="J453" s="445" t="e">
        <f>J455+J457+J459+J461+J463+J465+J467+#REF!+#REF!+J471+J473+J475+J477+J479+J481+J483+J485+#REF!+#REF!+J487+J489+J491+J493+J495+J497+#REF!+J499+J501+J503+J505+J507+J509+J511+J513+J515+J517+J519+J521+J523+#REF!+#REF!</f>
        <v>#REF!</v>
      </c>
      <c r="K453" s="445" t="e">
        <f>K455+K457+K459+K461+K463+K465+K467+#REF!+#REF!+K471+K473+K475+K477+K479+K481+K483+K485+#REF!+#REF!+K487+K489+K491+K493+K495+K497+#REF!+K499+K501+K503+K505+K507+K509+K511+K513+K515+K517+K519+K521+K523+#REF!</f>
        <v>#REF!</v>
      </c>
      <c r="L453" s="458">
        <v>213</v>
      </c>
      <c r="M453" s="459"/>
      <c r="N453" s="627"/>
      <c r="O453" s="460"/>
      <c r="P453" s="460" t="e">
        <f>P455+P457+P459+P461+P463+P465+P467+#REF!+#REF!+P471+P473+P475+P477+P479+P481+P483+P485+#REF!+#REF!+P487+P489+P491+P493+P495+P497+#REF!+P499+P501+P503+P505+P507+P509+P511+P513+P515+P517+P519+P521+P523+#REF!</f>
        <v>#REF!</v>
      </c>
      <c r="Q453" s="460" t="e">
        <f>Q455+Q457+Q459+Q461+Q463+Q465+Q467+#REF!+#REF!+Q471+Q473+Q475+Q477+Q479+Q481+Q483+Q485+#REF!+#REF!+Q487+Q489+Q491+Q493+Q495+Q497+#REF!+Q499+Q501+Q503+Q505+Q507+Q509+Q511+Q513+Q515+Q517+Q519+Q521+Q523+#REF!</f>
        <v>#REF!</v>
      </c>
      <c r="R453" s="460" t="e">
        <f>R455+R457+R459+R461+R463+R465+R467+#REF!+#REF!+R471+R473+R475+R477+R479+R481+R483+R485+#REF!+#REF!+R487+R489+R491+R493+R495+R497+#REF!+R499+R501+R503+R505+R507+R509+R511+R513+R515+R517+R519+R521+R523+#REF!</f>
        <v>#REF!</v>
      </c>
      <c r="S453" s="460" t="e">
        <f>S455+S457+S459+S461+S463+S465+S467+#REF!+#REF!+S471+S473+S475+S477+S479+S481+S483+S485+#REF!+#REF!+S487+S489+S491+S493+S495+S497+#REF!+S499+S501+S503+S505+S507+S509+S511+S513+S515+S517+S519+S521+S523+#REF!</f>
        <v>#REF!</v>
      </c>
      <c r="T453" s="445" t="e">
        <f>T455+T457+T459+T461+T463+T465+T467+#REF!+#REF!+T471+T473+T475+T477+T479+T481+T483+T485+#REF!+#REF!+T487+T489+T491+T493+T495+T497+#REF!+T499+T501+T503+T505+T507+T509+T511+T513+T515+T517+T519+T521+T523+#REF!</f>
        <v>#REF!</v>
      </c>
      <c r="U453" s="90">
        <f t="shared" si="124"/>
        <v>2105138.86</v>
      </c>
      <c r="V453" s="90">
        <f t="shared" si="124"/>
        <v>2105138.86</v>
      </c>
      <c r="W453" s="90">
        <f t="shared" si="124"/>
        <v>1157651.7</v>
      </c>
      <c r="X453" s="90">
        <f t="shared" si="124"/>
        <v>1157651.7</v>
      </c>
      <c r="Y453" s="90">
        <f t="shared" si="124"/>
        <v>1157651.7</v>
      </c>
      <c r="Z453" s="90">
        <f t="shared" si="124"/>
        <v>1157651.7</v>
      </c>
      <c r="AE453" s="10"/>
      <c r="AN453" s="3"/>
      <c r="AO453" s="16"/>
      <c r="AP453" s="16"/>
      <c r="AQ453" s="16"/>
      <c r="AR453" s="16"/>
      <c r="AS453" s="16"/>
      <c r="AT453" s="16"/>
      <c r="AU453" s="16"/>
    </row>
    <row r="454" spans="1:47" ht="187.5" customHeight="1">
      <c r="A454" s="859" t="s">
        <v>158</v>
      </c>
      <c r="B454" s="893"/>
      <c r="C454" s="894"/>
      <c r="D454" s="894"/>
      <c r="E454" s="894"/>
      <c r="F454" s="894"/>
      <c r="G454" s="894"/>
      <c r="H454" s="895"/>
      <c r="I454" s="850"/>
      <c r="J454" s="429">
        <v>309370.41</v>
      </c>
      <c r="K454" s="467">
        <v>480730.98285225</v>
      </c>
      <c r="L454" s="468">
        <v>211</v>
      </c>
      <c r="M454" s="886" t="s">
        <v>517</v>
      </c>
      <c r="N454" s="647">
        <v>27</v>
      </c>
      <c r="O454" s="467">
        <v>1612</v>
      </c>
      <c r="P454" s="469">
        <f>ROUND(N454*O454*12,0)</f>
        <v>522288</v>
      </c>
      <c r="Q454" s="470">
        <v>522288</v>
      </c>
      <c r="R454" s="470">
        <v>522288</v>
      </c>
      <c r="S454" s="470">
        <v>522288</v>
      </c>
      <c r="T454" s="467">
        <v>522288</v>
      </c>
      <c r="U454" s="119">
        <v>522288</v>
      </c>
      <c r="V454" s="119">
        <f>U454</f>
        <v>522288</v>
      </c>
      <c r="W454" s="88">
        <v>279006</v>
      </c>
      <c r="X454" s="88">
        <f>W454</f>
        <v>279006</v>
      </c>
      <c r="Y454" s="88">
        <f>W454</f>
        <v>279006</v>
      </c>
      <c r="Z454" s="88">
        <f>Y454</f>
        <v>279006</v>
      </c>
      <c r="AE454" s="10"/>
      <c r="AN454" s="3"/>
      <c r="AO454" s="16"/>
      <c r="AP454" s="16"/>
      <c r="AQ454" s="16"/>
      <c r="AR454" s="16"/>
      <c r="AS454" s="16"/>
      <c r="AT454" s="16"/>
      <c r="AU454" s="16"/>
    </row>
    <row r="455" spans="1:47" ht="169.5" customHeight="1">
      <c r="A455" s="859"/>
      <c r="B455" s="893"/>
      <c r="C455" s="894"/>
      <c r="D455" s="894"/>
      <c r="E455" s="894"/>
      <c r="F455" s="894"/>
      <c r="G455" s="894"/>
      <c r="H455" s="895"/>
      <c r="I455" s="850"/>
      <c r="J455" s="429">
        <v>100368.94</v>
      </c>
      <c r="K455" s="467">
        <v>153833.6</v>
      </c>
      <c r="L455" s="468">
        <v>213</v>
      </c>
      <c r="M455" s="850"/>
      <c r="N455" s="648">
        <v>0.32</v>
      </c>
      <c r="O455" s="471"/>
      <c r="P455" s="469">
        <f>ROUND(P454*N455,0)</f>
        <v>167132</v>
      </c>
      <c r="Q455" s="472">
        <v>167132</v>
      </c>
      <c r="R455" s="473">
        <v>167132</v>
      </c>
      <c r="S455" s="473">
        <v>167132</v>
      </c>
      <c r="T455" s="474">
        <v>167132</v>
      </c>
      <c r="U455" s="120">
        <v>167132</v>
      </c>
      <c r="V455" s="119">
        <f aca="true" t="shared" si="125" ref="V455:V518">U455</f>
        <v>167132</v>
      </c>
      <c r="W455" s="88">
        <v>89282</v>
      </c>
      <c r="X455" s="88">
        <f aca="true" t="shared" si="126" ref="X455:X518">W455</f>
        <v>89282</v>
      </c>
      <c r="Y455" s="88">
        <f aca="true" t="shared" si="127" ref="Y455:Y518">W455</f>
        <v>89282</v>
      </c>
      <c r="Z455" s="88">
        <f aca="true" t="shared" si="128" ref="Z455:Z518">Y455</f>
        <v>89282</v>
      </c>
      <c r="AE455" s="10"/>
      <c r="AN455" s="3"/>
      <c r="AO455" s="16"/>
      <c r="AP455" s="16"/>
      <c r="AQ455" s="16"/>
      <c r="AR455" s="16"/>
      <c r="AS455" s="16"/>
      <c r="AT455" s="16"/>
      <c r="AU455" s="16"/>
    </row>
    <row r="456" spans="1:47" ht="187.5" customHeight="1">
      <c r="A456" s="859" t="s">
        <v>159</v>
      </c>
      <c r="B456" s="893"/>
      <c r="C456" s="894"/>
      <c r="D456" s="894"/>
      <c r="E456" s="894"/>
      <c r="F456" s="894"/>
      <c r="G456" s="894"/>
      <c r="H456" s="895"/>
      <c r="I456" s="850"/>
      <c r="J456" s="429">
        <v>363024.65</v>
      </c>
      <c r="K456" s="467">
        <v>295664.27</v>
      </c>
      <c r="L456" s="468">
        <v>211</v>
      </c>
      <c r="M456" s="883" t="s">
        <v>384</v>
      </c>
      <c r="N456" s="649">
        <v>33</v>
      </c>
      <c r="O456" s="434">
        <v>1582.91</v>
      </c>
      <c r="P456" s="469">
        <f>ROUND(N456*O456*12,0)</f>
        <v>626832</v>
      </c>
      <c r="Q456" s="475">
        <v>626832</v>
      </c>
      <c r="R456" s="433">
        <v>626832</v>
      </c>
      <c r="S456" s="470">
        <v>626832</v>
      </c>
      <c r="T456" s="476">
        <v>626832</v>
      </c>
      <c r="U456" s="88">
        <v>626832</v>
      </c>
      <c r="V456" s="119">
        <f t="shared" si="125"/>
        <v>626832</v>
      </c>
      <c r="W456" s="88">
        <v>334854</v>
      </c>
      <c r="X456" s="88">
        <f t="shared" si="126"/>
        <v>334854</v>
      </c>
      <c r="Y456" s="88">
        <f t="shared" si="127"/>
        <v>334854</v>
      </c>
      <c r="Z456" s="88">
        <f t="shared" si="128"/>
        <v>334854</v>
      </c>
      <c r="AE456" s="10"/>
      <c r="AN456" s="3"/>
      <c r="AO456" s="16"/>
      <c r="AP456" s="16"/>
      <c r="AQ456" s="16"/>
      <c r="AR456" s="16"/>
      <c r="AS456" s="16"/>
      <c r="AT456" s="16"/>
      <c r="AU456" s="16"/>
    </row>
    <row r="457" spans="1:47" ht="187.5" customHeight="1">
      <c r="A457" s="859"/>
      <c r="B457" s="893"/>
      <c r="C457" s="894"/>
      <c r="D457" s="894"/>
      <c r="E457" s="894"/>
      <c r="F457" s="894"/>
      <c r="G457" s="894"/>
      <c r="H457" s="895"/>
      <c r="I457" s="850"/>
      <c r="J457" s="429">
        <v>111290.53</v>
      </c>
      <c r="K457" s="467">
        <v>91515.5746226</v>
      </c>
      <c r="L457" s="468">
        <v>213</v>
      </c>
      <c r="M457" s="887"/>
      <c r="N457" s="648">
        <v>0.3104</v>
      </c>
      <c r="O457" s="434"/>
      <c r="P457" s="469">
        <f>ROUND(P456*N457,0)</f>
        <v>194569</v>
      </c>
      <c r="Q457" s="475">
        <v>194569</v>
      </c>
      <c r="R457" s="433">
        <v>194569</v>
      </c>
      <c r="S457" s="470">
        <v>194569</v>
      </c>
      <c r="T457" s="476">
        <v>194569</v>
      </c>
      <c r="U457" s="88">
        <v>194569</v>
      </c>
      <c r="V457" s="119">
        <f t="shared" si="125"/>
        <v>194569</v>
      </c>
      <c r="W457" s="88">
        <v>103939</v>
      </c>
      <c r="X457" s="88">
        <f t="shared" si="126"/>
        <v>103939</v>
      </c>
      <c r="Y457" s="88">
        <f t="shared" si="127"/>
        <v>103939</v>
      </c>
      <c r="Z457" s="88">
        <f t="shared" si="128"/>
        <v>103939</v>
      </c>
      <c r="AE457" s="10"/>
      <c r="AN457" s="3"/>
      <c r="AO457" s="16"/>
      <c r="AP457" s="16"/>
      <c r="AQ457" s="16"/>
      <c r="AR457" s="16"/>
      <c r="AS457" s="16"/>
      <c r="AT457" s="16"/>
      <c r="AU457" s="16"/>
    </row>
    <row r="458" spans="1:47" ht="36" customHeight="1">
      <c r="A458" s="859" t="s">
        <v>160</v>
      </c>
      <c r="B458" s="893"/>
      <c r="C458" s="894"/>
      <c r="D458" s="894"/>
      <c r="E458" s="894"/>
      <c r="F458" s="894"/>
      <c r="G458" s="894"/>
      <c r="H458" s="895"/>
      <c r="I458" s="850"/>
      <c r="J458" s="429">
        <v>40813</v>
      </c>
      <c r="K458" s="477">
        <v>29665.4918592</v>
      </c>
      <c r="L458" s="468">
        <v>211</v>
      </c>
      <c r="M458" s="883" t="s">
        <v>518</v>
      </c>
      <c r="N458" s="649">
        <v>4</v>
      </c>
      <c r="O458" s="434">
        <v>1452</v>
      </c>
      <c r="P458" s="469">
        <f>ROUND(N458*O458*12,0)</f>
        <v>69696</v>
      </c>
      <c r="Q458" s="475">
        <v>69696</v>
      </c>
      <c r="R458" s="475">
        <v>69696</v>
      </c>
      <c r="S458" s="475">
        <v>69696</v>
      </c>
      <c r="T458" s="476">
        <v>69696</v>
      </c>
      <c r="U458" s="88">
        <v>69696</v>
      </c>
      <c r="V458" s="119">
        <f t="shared" si="125"/>
        <v>69696</v>
      </c>
      <c r="W458" s="88">
        <v>37232</v>
      </c>
      <c r="X458" s="88">
        <f t="shared" si="126"/>
        <v>37232</v>
      </c>
      <c r="Y458" s="88">
        <f t="shared" si="127"/>
        <v>37232</v>
      </c>
      <c r="Z458" s="88">
        <f t="shared" si="128"/>
        <v>37232</v>
      </c>
      <c r="AE458" s="10"/>
      <c r="AN458" s="3"/>
      <c r="AO458" s="16"/>
      <c r="AP458" s="16"/>
      <c r="AQ458" s="16"/>
      <c r="AR458" s="16"/>
      <c r="AS458" s="16"/>
      <c r="AT458" s="16"/>
      <c r="AU458" s="16"/>
    </row>
    <row r="459" spans="1:47" ht="55.5" customHeight="1">
      <c r="A459" s="859"/>
      <c r="B459" s="893"/>
      <c r="C459" s="894"/>
      <c r="D459" s="894"/>
      <c r="E459" s="894"/>
      <c r="F459" s="894"/>
      <c r="G459" s="894"/>
      <c r="H459" s="895"/>
      <c r="I459" s="850"/>
      <c r="J459" s="429">
        <v>12325</v>
      </c>
      <c r="K459" s="477">
        <v>8958.9785414784</v>
      </c>
      <c r="L459" s="468">
        <v>213</v>
      </c>
      <c r="M459" s="883"/>
      <c r="N459" s="648">
        <v>0.302</v>
      </c>
      <c r="O459" s="434"/>
      <c r="P459" s="469">
        <f>ROUND(P458*N459,0)</f>
        <v>21048</v>
      </c>
      <c r="Q459" s="469">
        <v>21048</v>
      </c>
      <c r="R459" s="478">
        <v>21048</v>
      </c>
      <c r="S459" s="479">
        <v>21048</v>
      </c>
      <c r="T459" s="46">
        <v>21048</v>
      </c>
      <c r="U459" s="47">
        <v>21048</v>
      </c>
      <c r="V459" s="119">
        <f t="shared" si="125"/>
        <v>21048</v>
      </c>
      <c r="W459" s="88">
        <v>11244</v>
      </c>
      <c r="X459" s="88">
        <f t="shared" si="126"/>
        <v>11244</v>
      </c>
      <c r="Y459" s="88">
        <f t="shared" si="127"/>
        <v>11244</v>
      </c>
      <c r="Z459" s="88">
        <f t="shared" si="128"/>
        <v>11244</v>
      </c>
      <c r="AE459" s="10"/>
      <c r="AN459" s="3"/>
      <c r="AO459" s="16"/>
      <c r="AP459" s="16"/>
      <c r="AQ459" s="16"/>
      <c r="AR459" s="16"/>
      <c r="AS459" s="16"/>
      <c r="AT459" s="16"/>
      <c r="AU459" s="16"/>
    </row>
    <row r="460" spans="1:47" ht="225.75" customHeight="1">
      <c r="A460" s="859" t="s">
        <v>161</v>
      </c>
      <c r="B460" s="893"/>
      <c r="C460" s="894"/>
      <c r="D460" s="894"/>
      <c r="E460" s="894"/>
      <c r="F460" s="894"/>
      <c r="G460" s="894"/>
      <c r="H460" s="895"/>
      <c r="I460" s="850"/>
      <c r="J460" s="429">
        <v>60119.09</v>
      </c>
      <c r="K460" s="477">
        <v>83434.19585400002</v>
      </c>
      <c r="L460" s="468">
        <v>211</v>
      </c>
      <c r="M460" s="883" t="s">
        <v>257</v>
      </c>
      <c r="N460" s="649">
        <v>7</v>
      </c>
      <c r="O460" s="434">
        <v>1452</v>
      </c>
      <c r="P460" s="469">
        <f>ROUND(N460*O460*12,0)</f>
        <v>121968</v>
      </c>
      <c r="Q460" s="479">
        <v>121968</v>
      </c>
      <c r="R460" s="479">
        <v>121968</v>
      </c>
      <c r="S460" s="479">
        <v>121968</v>
      </c>
      <c r="T460" s="480">
        <v>121968</v>
      </c>
      <c r="U460" s="121">
        <v>121968</v>
      </c>
      <c r="V460" s="119">
        <f t="shared" si="125"/>
        <v>121968</v>
      </c>
      <c r="W460" s="88">
        <v>65155</v>
      </c>
      <c r="X460" s="88">
        <f t="shared" si="126"/>
        <v>65155</v>
      </c>
      <c r="Y460" s="88">
        <f t="shared" si="127"/>
        <v>65155</v>
      </c>
      <c r="Z460" s="88">
        <f t="shared" si="128"/>
        <v>65155</v>
      </c>
      <c r="AE460" s="10"/>
      <c r="AN460" s="3"/>
      <c r="AO460" s="16"/>
      <c r="AP460" s="16"/>
      <c r="AQ460" s="16"/>
      <c r="AR460" s="16"/>
      <c r="AS460" s="16"/>
      <c r="AT460" s="16"/>
      <c r="AU460" s="16"/>
    </row>
    <row r="461" spans="1:47" ht="146.25" customHeight="1">
      <c r="A461" s="859"/>
      <c r="B461" s="893"/>
      <c r="C461" s="894"/>
      <c r="D461" s="894"/>
      <c r="E461" s="894"/>
      <c r="F461" s="894"/>
      <c r="G461" s="894"/>
      <c r="H461" s="895"/>
      <c r="I461" s="850"/>
      <c r="J461" s="429">
        <v>19166.48</v>
      </c>
      <c r="K461" s="477">
        <v>32706.03</v>
      </c>
      <c r="L461" s="468">
        <v>213</v>
      </c>
      <c r="M461" s="883"/>
      <c r="N461" s="648">
        <v>0.333</v>
      </c>
      <c r="O461" s="434"/>
      <c r="P461" s="469">
        <f>ROUND(P460*N461,0)</f>
        <v>40615</v>
      </c>
      <c r="Q461" s="479">
        <v>40615</v>
      </c>
      <c r="R461" s="479">
        <v>40615</v>
      </c>
      <c r="S461" s="479">
        <v>40615</v>
      </c>
      <c r="T461" s="480">
        <v>40615</v>
      </c>
      <c r="U461" s="121">
        <v>40615</v>
      </c>
      <c r="V461" s="119">
        <f t="shared" si="125"/>
        <v>40615</v>
      </c>
      <c r="W461" s="88">
        <v>21969</v>
      </c>
      <c r="X461" s="88">
        <f t="shared" si="126"/>
        <v>21969</v>
      </c>
      <c r="Y461" s="88">
        <f t="shared" si="127"/>
        <v>21969</v>
      </c>
      <c r="Z461" s="88">
        <f t="shared" si="128"/>
        <v>21969</v>
      </c>
      <c r="AE461" s="10"/>
      <c r="AN461" s="3"/>
      <c r="AO461" s="16"/>
      <c r="AP461" s="16"/>
      <c r="AQ461" s="16"/>
      <c r="AR461" s="16"/>
      <c r="AS461" s="16"/>
      <c r="AT461" s="16"/>
      <c r="AU461" s="16"/>
    </row>
    <row r="462" spans="1:47" ht="106.5" customHeight="1">
      <c r="A462" s="859" t="s">
        <v>162</v>
      </c>
      <c r="B462" s="893"/>
      <c r="C462" s="894"/>
      <c r="D462" s="894"/>
      <c r="E462" s="894"/>
      <c r="F462" s="894"/>
      <c r="G462" s="894"/>
      <c r="H462" s="895"/>
      <c r="I462" s="850"/>
      <c r="J462" s="429">
        <v>67083.27</v>
      </c>
      <c r="K462" s="467">
        <v>51914.79247400001</v>
      </c>
      <c r="L462" s="468">
        <v>211</v>
      </c>
      <c r="M462" s="883" t="s">
        <v>259</v>
      </c>
      <c r="N462" s="649">
        <v>7</v>
      </c>
      <c r="O462" s="434">
        <v>1452</v>
      </c>
      <c r="P462" s="469">
        <f>ROUND(N462*O462*12,0)</f>
        <v>121968</v>
      </c>
      <c r="Q462" s="479">
        <v>121968</v>
      </c>
      <c r="R462" s="479">
        <v>121968</v>
      </c>
      <c r="S462" s="479">
        <v>121968</v>
      </c>
      <c r="T462" s="480">
        <v>121968</v>
      </c>
      <c r="U462" s="121">
        <v>121968</v>
      </c>
      <c r="V462" s="119">
        <f t="shared" si="125"/>
        <v>121968</v>
      </c>
      <c r="W462" s="88">
        <v>65155</v>
      </c>
      <c r="X462" s="88">
        <f t="shared" si="126"/>
        <v>65155</v>
      </c>
      <c r="Y462" s="88">
        <f t="shared" si="127"/>
        <v>65155</v>
      </c>
      <c r="Z462" s="88">
        <f t="shared" si="128"/>
        <v>65155</v>
      </c>
      <c r="AE462" s="10"/>
      <c r="AN462" s="3"/>
      <c r="AO462" s="16"/>
      <c r="AP462" s="16"/>
      <c r="AQ462" s="16"/>
      <c r="AR462" s="16"/>
      <c r="AS462" s="16"/>
      <c r="AT462" s="16"/>
      <c r="AU462" s="16"/>
    </row>
    <row r="463" spans="1:47" ht="123.75" customHeight="1">
      <c r="A463" s="859"/>
      <c r="B463" s="893"/>
      <c r="C463" s="894"/>
      <c r="D463" s="894"/>
      <c r="E463" s="894"/>
      <c r="F463" s="894"/>
      <c r="G463" s="894"/>
      <c r="H463" s="895"/>
      <c r="I463" s="850"/>
      <c r="J463" s="429">
        <v>21418.96</v>
      </c>
      <c r="K463" s="467">
        <v>18447.055653360003</v>
      </c>
      <c r="L463" s="468">
        <v>213</v>
      </c>
      <c r="M463" s="883"/>
      <c r="N463" s="648">
        <v>0.302</v>
      </c>
      <c r="O463" s="434"/>
      <c r="P463" s="469">
        <f>ROUND(P462*N463,0)</f>
        <v>36834</v>
      </c>
      <c r="Q463" s="479">
        <v>36834</v>
      </c>
      <c r="R463" s="479">
        <v>36834</v>
      </c>
      <c r="S463" s="479">
        <v>36834</v>
      </c>
      <c r="T463" s="480">
        <v>36834</v>
      </c>
      <c r="U463" s="121">
        <v>36834</v>
      </c>
      <c r="V463" s="119">
        <f t="shared" si="125"/>
        <v>36834</v>
      </c>
      <c r="W463" s="88">
        <v>19676.7</v>
      </c>
      <c r="X463" s="88">
        <f t="shared" si="126"/>
        <v>19676.7</v>
      </c>
      <c r="Y463" s="88">
        <f t="shared" si="127"/>
        <v>19676.7</v>
      </c>
      <c r="Z463" s="88">
        <f t="shared" si="128"/>
        <v>19676.7</v>
      </c>
      <c r="AE463" s="10"/>
      <c r="AN463" s="3"/>
      <c r="AO463" s="16"/>
      <c r="AP463" s="16"/>
      <c r="AQ463" s="16"/>
      <c r="AR463" s="16"/>
      <c r="AS463" s="16"/>
      <c r="AT463" s="16"/>
      <c r="AU463" s="16"/>
    </row>
    <row r="464" spans="1:47" ht="43.5" customHeight="1">
      <c r="A464" s="859" t="s">
        <v>163</v>
      </c>
      <c r="B464" s="893"/>
      <c r="C464" s="894"/>
      <c r="D464" s="894"/>
      <c r="E464" s="894"/>
      <c r="F464" s="894"/>
      <c r="G464" s="894"/>
      <c r="H464" s="895"/>
      <c r="I464" s="850"/>
      <c r="J464" s="429">
        <v>17382.8</v>
      </c>
      <c r="K464" s="467">
        <v>7416.37</v>
      </c>
      <c r="L464" s="468">
        <v>211</v>
      </c>
      <c r="M464" s="885" t="s">
        <v>260</v>
      </c>
      <c r="N464" s="650">
        <v>0.75</v>
      </c>
      <c r="O464" s="440">
        <v>1452</v>
      </c>
      <c r="P464" s="469">
        <f>ROUND(N464*O464*12,0)</f>
        <v>13068</v>
      </c>
      <c r="Q464" s="469">
        <v>13068</v>
      </c>
      <c r="R464" s="470">
        <v>13068</v>
      </c>
      <c r="S464" s="470">
        <v>13068</v>
      </c>
      <c r="T464" s="46">
        <v>13068</v>
      </c>
      <c r="U464" s="47">
        <v>13068</v>
      </c>
      <c r="V464" s="119">
        <f t="shared" si="125"/>
        <v>13068</v>
      </c>
      <c r="W464" s="88">
        <v>6981</v>
      </c>
      <c r="X464" s="88">
        <f t="shared" si="126"/>
        <v>6981</v>
      </c>
      <c r="Y464" s="88">
        <f t="shared" si="127"/>
        <v>6981</v>
      </c>
      <c r="Z464" s="88">
        <f t="shared" si="128"/>
        <v>6981</v>
      </c>
      <c r="AE464" s="10"/>
      <c r="AN464" s="3"/>
      <c r="AO464" s="16"/>
      <c r="AP464" s="16"/>
      <c r="AQ464" s="16"/>
      <c r="AR464" s="16"/>
      <c r="AS464" s="16"/>
      <c r="AT464" s="16"/>
      <c r="AU464" s="16"/>
    </row>
    <row r="465" spans="1:47" ht="58.5" customHeight="1">
      <c r="A465" s="859"/>
      <c r="B465" s="893"/>
      <c r="C465" s="894"/>
      <c r="D465" s="894"/>
      <c r="E465" s="894"/>
      <c r="F465" s="894"/>
      <c r="G465" s="894"/>
      <c r="H465" s="895"/>
      <c r="I465" s="850"/>
      <c r="J465" s="429">
        <v>5249.66</v>
      </c>
      <c r="K465" s="467">
        <v>2239.75</v>
      </c>
      <c r="L465" s="468">
        <v>213</v>
      </c>
      <c r="M465" s="885"/>
      <c r="N465" s="648">
        <v>0.302</v>
      </c>
      <c r="O465" s="440"/>
      <c r="P465" s="469">
        <f>ROUND(P464*N465,0)</f>
        <v>3947</v>
      </c>
      <c r="Q465" s="469">
        <v>3947</v>
      </c>
      <c r="R465" s="470">
        <v>3947</v>
      </c>
      <c r="S465" s="470">
        <v>3947</v>
      </c>
      <c r="T465" s="46">
        <v>3947</v>
      </c>
      <c r="U465" s="47">
        <v>3947</v>
      </c>
      <c r="V465" s="119">
        <f t="shared" si="125"/>
        <v>3947</v>
      </c>
      <c r="W465" s="88">
        <v>2108</v>
      </c>
      <c r="X465" s="88">
        <f t="shared" si="126"/>
        <v>2108</v>
      </c>
      <c r="Y465" s="88">
        <f t="shared" si="127"/>
        <v>2108</v>
      </c>
      <c r="Z465" s="88">
        <f t="shared" si="128"/>
        <v>2108</v>
      </c>
      <c r="AE465" s="10"/>
      <c r="AN465" s="3"/>
      <c r="AO465" s="16"/>
      <c r="AP465" s="16"/>
      <c r="AQ465" s="16"/>
      <c r="AR465" s="16"/>
      <c r="AS465" s="16"/>
      <c r="AT465" s="16"/>
      <c r="AU465" s="16"/>
    </row>
    <row r="466" spans="1:47" ht="39" customHeight="1">
      <c r="A466" s="859" t="s">
        <v>164</v>
      </c>
      <c r="B466" s="893"/>
      <c r="C466" s="894"/>
      <c r="D466" s="894"/>
      <c r="E466" s="894"/>
      <c r="F466" s="894"/>
      <c r="G466" s="894"/>
      <c r="H466" s="895"/>
      <c r="I466" s="850"/>
      <c r="J466" s="481">
        <v>12785.14</v>
      </c>
      <c r="K466" s="477">
        <v>14832.845875820001</v>
      </c>
      <c r="L466" s="468">
        <v>211</v>
      </c>
      <c r="M466" s="883" t="s">
        <v>383</v>
      </c>
      <c r="N466" s="649">
        <v>1</v>
      </c>
      <c r="O466" s="434">
        <v>1452</v>
      </c>
      <c r="P466" s="469">
        <f>ROUND(N466*O466*12,0)</f>
        <v>17424</v>
      </c>
      <c r="Q466" s="475">
        <v>17424</v>
      </c>
      <c r="R466" s="478">
        <v>17424</v>
      </c>
      <c r="S466" s="479">
        <v>17424</v>
      </c>
      <c r="T466" s="476">
        <v>17424</v>
      </c>
      <c r="U466" s="88">
        <v>17424</v>
      </c>
      <c r="V466" s="119">
        <f t="shared" si="125"/>
        <v>17424</v>
      </c>
      <c r="W466" s="88">
        <v>9308</v>
      </c>
      <c r="X466" s="88">
        <f t="shared" si="126"/>
        <v>9308</v>
      </c>
      <c r="Y466" s="88">
        <f t="shared" si="127"/>
        <v>9308</v>
      </c>
      <c r="Z466" s="88">
        <f t="shared" si="128"/>
        <v>9308</v>
      </c>
      <c r="AE466" s="10"/>
      <c r="AN466" s="3"/>
      <c r="AO466" s="16"/>
      <c r="AP466" s="16"/>
      <c r="AQ466" s="16"/>
      <c r="AR466" s="16"/>
      <c r="AS466" s="16"/>
      <c r="AT466" s="16"/>
      <c r="AU466" s="16"/>
    </row>
    <row r="467" spans="1:47" ht="62.25" customHeight="1">
      <c r="A467" s="859"/>
      <c r="B467" s="893"/>
      <c r="C467" s="894"/>
      <c r="D467" s="894"/>
      <c r="E467" s="894"/>
      <c r="F467" s="894"/>
      <c r="G467" s="894"/>
      <c r="H467" s="895"/>
      <c r="I467" s="850"/>
      <c r="J467" s="481">
        <v>3861.13</v>
      </c>
      <c r="K467" s="477">
        <v>4479.40786</v>
      </c>
      <c r="L467" s="468">
        <v>213</v>
      </c>
      <c r="M467" s="883"/>
      <c r="N467" s="648">
        <v>0.392</v>
      </c>
      <c r="O467" s="434"/>
      <c r="P467" s="469">
        <f>ROUND(P466*N467,0)</f>
        <v>6830</v>
      </c>
      <c r="Q467" s="475">
        <v>6830</v>
      </c>
      <c r="R467" s="478">
        <v>6830</v>
      </c>
      <c r="S467" s="479">
        <v>6830</v>
      </c>
      <c r="T467" s="476">
        <v>6830</v>
      </c>
      <c r="U467" s="88">
        <v>6830</v>
      </c>
      <c r="V467" s="119">
        <f t="shared" si="125"/>
        <v>6830</v>
      </c>
      <c r="W467" s="88">
        <v>3649</v>
      </c>
      <c r="X467" s="88">
        <f t="shared" si="126"/>
        <v>3649</v>
      </c>
      <c r="Y467" s="88">
        <f t="shared" si="127"/>
        <v>3649</v>
      </c>
      <c r="Z467" s="88">
        <f t="shared" si="128"/>
        <v>3649</v>
      </c>
      <c r="AE467" s="10"/>
      <c r="AN467" s="3"/>
      <c r="AO467" s="16"/>
      <c r="AP467" s="16"/>
      <c r="AQ467" s="16"/>
      <c r="AR467" s="16"/>
      <c r="AS467" s="16"/>
      <c r="AT467" s="16"/>
      <c r="AU467" s="16"/>
    </row>
    <row r="468" spans="1:47" ht="40.5" customHeight="1">
      <c r="A468" s="859" t="s">
        <v>520</v>
      </c>
      <c r="B468" s="893"/>
      <c r="C468" s="894"/>
      <c r="D468" s="894"/>
      <c r="E468" s="894"/>
      <c r="F468" s="894"/>
      <c r="G468" s="894"/>
      <c r="H468" s="895"/>
      <c r="I468" s="850"/>
      <c r="J468" s="481">
        <v>12785.14</v>
      </c>
      <c r="K468" s="477">
        <v>14832.845875820001</v>
      </c>
      <c r="L468" s="468">
        <v>211</v>
      </c>
      <c r="M468" s="883"/>
      <c r="N468" s="649">
        <v>1</v>
      </c>
      <c r="O468" s="434">
        <v>1452</v>
      </c>
      <c r="P468" s="469">
        <f>ROUND(N468*O468*12,0)</f>
        <v>17424</v>
      </c>
      <c r="Q468" s="475">
        <v>17424</v>
      </c>
      <c r="R468" s="478">
        <v>17424</v>
      </c>
      <c r="S468" s="479">
        <v>17424</v>
      </c>
      <c r="T468" s="476">
        <v>17424</v>
      </c>
      <c r="U468" s="88">
        <v>69696</v>
      </c>
      <c r="V468" s="119">
        <f t="shared" si="125"/>
        <v>69696</v>
      </c>
      <c r="W468" s="88">
        <v>37232</v>
      </c>
      <c r="X468" s="88">
        <f t="shared" si="126"/>
        <v>37232</v>
      </c>
      <c r="Y468" s="88">
        <f>W468</f>
        <v>37232</v>
      </c>
      <c r="Z468" s="88">
        <f t="shared" si="128"/>
        <v>37232</v>
      </c>
      <c r="AE468" s="10"/>
      <c r="AN468" s="3"/>
      <c r="AO468" s="16"/>
      <c r="AP468" s="16"/>
      <c r="AQ468" s="16"/>
      <c r="AR468" s="16"/>
      <c r="AS468" s="16"/>
      <c r="AT468" s="16"/>
      <c r="AU468" s="16"/>
    </row>
    <row r="469" spans="1:47" ht="61.5" customHeight="1">
      <c r="A469" s="859"/>
      <c r="B469" s="893"/>
      <c r="C469" s="894"/>
      <c r="D469" s="894"/>
      <c r="E469" s="894"/>
      <c r="F469" s="894"/>
      <c r="G469" s="894"/>
      <c r="H469" s="895"/>
      <c r="I469" s="850"/>
      <c r="J469" s="481">
        <v>3861.13</v>
      </c>
      <c r="K469" s="477">
        <v>4479.40786</v>
      </c>
      <c r="L469" s="468">
        <v>213</v>
      </c>
      <c r="M469" s="883"/>
      <c r="N469" s="648">
        <v>0.392</v>
      </c>
      <c r="O469" s="434"/>
      <c r="P469" s="469">
        <f>ROUND(P468*N469,0)</f>
        <v>6830</v>
      </c>
      <c r="Q469" s="475">
        <v>6830</v>
      </c>
      <c r="R469" s="478">
        <v>6830</v>
      </c>
      <c r="S469" s="479">
        <v>6830</v>
      </c>
      <c r="T469" s="476">
        <v>6830</v>
      </c>
      <c r="U469" s="88">
        <v>22094</v>
      </c>
      <c r="V469" s="119">
        <f t="shared" si="125"/>
        <v>22094</v>
      </c>
      <c r="W469" s="88">
        <v>11803</v>
      </c>
      <c r="X469" s="88">
        <f t="shared" si="126"/>
        <v>11803</v>
      </c>
      <c r="Y469" s="88">
        <f>W469</f>
        <v>11803</v>
      </c>
      <c r="Z469" s="88">
        <f t="shared" si="128"/>
        <v>11803</v>
      </c>
      <c r="AE469" s="10"/>
      <c r="AN469" s="3"/>
      <c r="AO469" s="16"/>
      <c r="AP469" s="16"/>
      <c r="AQ469" s="16"/>
      <c r="AR469" s="16"/>
      <c r="AS469" s="16"/>
      <c r="AT469" s="16"/>
      <c r="AU469" s="16"/>
    </row>
    <row r="470" spans="1:47" ht="171.75" customHeight="1">
      <c r="A470" s="859" t="s">
        <v>165</v>
      </c>
      <c r="B470" s="893"/>
      <c r="C470" s="894"/>
      <c r="D470" s="894"/>
      <c r="E470" s="894"/>
      <c r="F470" s="894"/>
      <c r="G470" s="894"/>
      <c r="H470" s="895"/>
      <c r="I470" s="850"/>
      <c r="J470" s="429">
        <v>91365.6</v>
      </c>
      <c r="K470" s="467">
        <v>89109.323946</v>
      </c>
      <c r="L470" s="468">
        <v>211</v>
      </c>
      <c r="M470" s="884" t="s">
        <v>387</v>
      </c>
      <c r="N470" s="651">
        <v>5</v>
      </c>
      <c r="O470" s="483">
        <v>1644</v>
      </c>
      <c r="P470" s="469">
        <f>ROUND(N470*O470*12,0)</f>
        <v>98640</v>
      </c>
      <c r="Q470" s="460">
        <v>98640</v>
      </c>
      <c r="R470" s="460">
        <v>98640</v>
      </c>
      <c r="S470" s="460">
        <v>98640</v>
      </c>
      <c r="T470" s="445">
        <v>98640</v>
      </c>
      <c r="U470" s="90">
        <v>98640</v>
      </c>
      <c r="V470" s="119">
        <f t="shared" si="125"/>
        <v>98640</v>
      </c>
      <c r="W470" s="88">
        <v>52693</v>
      </c>
      <c r="X470" s="88">
        <f t="shared" si="126"/>
        <v>52693</v>
      </c>
      <c r="Y470" s="88">
        <f t="shared" si="127"/>
        <v>52693</v>
      </c>
      <c r="Z470" s="88">
        <f t="shared" si="128"/>
        <v>52693</v>
      </c>
      <c r="AE470" s="10"/>
      <c r="AN470" s="3"/>
      <c r="AO470" s="16"/>
      <c r="AP470" s="16"/>
      <c r="AQ470" s="16"/>
      <c r="AR470" s="16"/>
      <c r="AS470" s="16"/>
      <c r="AT470" s="16"/>
      <c r="AU470" s="16"/>
    </row>
    <row r="471" spans="1:47" ht="159" customHeight="1">
      <c r="A471" s="859"/>
      <c r="B471" s="893"/>
      <c r="C471" s="894"/>
      <c r="D471" s="894"/>
      <c r="E471" s="894"/>
      <c r="F471" s="894"/>
      <c r="G471" s="894"/>
      <c r="H471" s="895"/>
      <c r="I471" s="850"/>
      <c r="J471" s="429">
        <v>27201.5</v>
      </c>
      <c r="K471" s="467">
        <v>26910.974036000003</v>
      </c>
      <c r="L471" s="468">
        <v>213</v>
      </c>
      <c r="M471" s="858"/>
      <c r="N471" s="648">
        <v>0.302</v>
      </c>
      <c r="O471" s="482"/>
      <c r="P471" s="469">
        <f>ROUND(P470*N471,0)</f>
        <v>29789</v>
      </c>
      <c r="Q471" s="470">
        <v>29789</v>
      </c>
      <c r="R471" s="470">
        <v>29789</v>
      </c>
      <c r="S471" s="470">
        <v>29789</v>
      </c>
      <c r="T471" s="467">
        <v>29789</v>
      </c>
      <c r="U471" s="119">
        <v>29789</v>
      </c>
      <c r="V471" s="119">
        <f t="shared" si="125"/>
        <v>29789</v>
      </c>
      <c r="W471" s="88">
        <v>15913</v>
      </c>
      <c r="X471" s="88">
        <f t="shared" si="126"/>
        <v>15913</v>
      </c>
      <c r="Y471" s="88">
        <f t="shared" si="127"/>
        <v>15913</v>
      </c>
      <c r="Z471" s="88">
        <f t="shared" si="128"/>
        <v>15913</v>
      </c>
      <c r="AE471" s="10"/>
      <c r="AN471" s="3"/>
      <c r="AO471" s="16"/>
      <c r="AP471" s="16"/>
      <c r="AQ471" s="16"/>
      <c r="AR471" s="16"/>
      <c r="AS471" s="16"/>
      <c r="AT471" s="16"/>
      <c r="AU471" s="16"/>
    </row>
    <row r="472" spans="1:47" ht="187.5" customHeight="1">
      <c r="A472" s="859" t="s">
        <v>166</v>
      </c>
      <c r="B472" s="893"/>
      <c r="C472" s="894"/>
      <c r="D472" s="894"/>
      <c r="E472" s="894"/>
      <c r="F472" s="894"/>
      <c r="G472" s="894"/>
      <c r="H472" s="895"/>
      <c r="I472" s="850"/>
      <c r="J472" s="467">
        <v>333851.11</v>
      </c>
      <c r="K472" s="467">
        <v>248074.26841506004</v>
      </c>
      <c r="L472" s="468">
        <v>211</v>
      </c>
      <c r="M472" s="870" t="s">
        <v>681</v>
      </c>
      <c r="N472" s="638">
        <v>22</v>
      </c>
      <c r="O472" s="484">
        <v>1572</v>
      </c>
      <c r="P472" s="469">
        <f>ROUND(N472*O472*12,0)</f>
        <v>415008</v>
      </c>
      <c r="Q472" s="478">
        <v>415008</v>
      </c>
      <c r="R472" s="478">
        <v>415008</v>
      </c>
      <c r="S472" s="479">
        <v>415008</v>
      </c>
      <c r="T472" s="484">
        <v>415008</v>
      </c>
      <c r="U472" s="122">
        <v>415008</v>
      </c>
      <c r="V472" s="119">
        <f t="shared" si="125"/>
        <v>415008</v>
      </c>
      <c r="W472" s="88">
        <v>221697</v>
      </c>
      <c r="X472" s="88">
        <f t="shared" si="126"/>
        <v>221697</v>
      </c>
      <c r="Y472" s="88">
        <f t="shared" si="127"/>
        <v>221697</v>
      </c>
      <c r="Z472" s="88">
        <f t="shared" si="128"/>
        <v>221697</v>
      </c>
      <c r="AE472" s="10"/>
      <c r="AN472" s="3"/>
      <c r="AO472" s="16"/>
      <c r="AP472" s="16"/>
      <c r="AQ472" s="16"/>
      <c r="AR472" s="16"/>
      <c r="AS472" s="16"/>
      <c r="AT472" s="16"/>
      <c r="AU472" s="16"/>
    </row>
    <row r="473" spans="1:47" ht="163.5" customHeight="1">
      <c r="A473" s="859"/>
      <c r="B473" s="893"/>
      <c r="C473" s="894"/>
      <c r="D473" s="894"/>
      <c r="E473" s="894"/>
      <c r="F473" s="894"/>
      <c r="G473" s="894"/>
      <c r="H473" s="895"/>
      <c r="I473" s="850"/>
      <c r="J473" s="467">
        <v>107683.36</v>
      </c>
      <c r="K473" s="467">
        <v>74918.43264124001</v>
      </c>
      <c r="L473" s="468">
        <v>213</v>
      </c>
      <c r="M473" s="870"/>
      <c r="N473" s="648">
        <v>0.302</v>
      </c>
      <c r="O473" s="485"/>
      <c r="P473" s="469">
        <f>ROUND(P472*N473,0)</f>
        <v>125332</v>
      </c>
      <c r="Q473" s="478">
        <v>125332</v>
      </c>
      <c r="R473" s="478">
        <v>125332</v>
      </c>
      <c r="S473" s="478">
        <v>125332</v>
      </c>
      <c r="T473" s="484">
        <v>125332</v>
      </c>
      <c r="U473" s="122">
        <v>125332</v>
      </c>
      <c r="V473" s="119">
        <f t="shared" si="125"/>
        <v>125332</v>
      </c>
      <c r="W473" s="88">
        <v>66952</v>
      </c>
      <c r="X473" s="88">
        <f t="shared" si="126"/>
        <v>66952</v>
      </c>
      <c r="Y473" s="88">
        <f t="shared" si="127"/>
        <v>66952</v>
      </c>
      <c r="Z473" s="88">
        <f t="shared" si="128"/>
        <v>66952</v>
      </c>
      <c r="AE473" s="10"/>
      <c r="AN473" s="3"/>
      <c r="AO473" s="16"/>
      <c r="AP473" s="16"/>
      <c r="AQ473" s="16"/>
      <c r="AR473" s="16"/>
      <c r="AS473" s="16"/>
      <c r="AT473" s="16"/>
      <c r="AU473" s="16"/>
    </row>
    <row r="474" spans="1:47" ht="138.75" customHeight="1">
      <c r="A474" s="859" t="s">
        <v>167</v>
      </c>
      <c r="B474" s="893"/>
      <c r="C474" s="894"/>
      <c r="D474" s="894"/>
      <c r="E474" s="894"/>
      <c r="F474" s="894"/>
      <c r="G474" s="894"/>
      <c r="H474" s="895"/>
      <c r="I474" s="850"/>
      <c r="J474" s="429">
        <v>203618.27</v>
      </c>
      <c r="K474" s="477">
        <v>171758.48767200002</v>
      </c>
      <c r="L474" s="468">
        <v>211</v>
      </c>
      <c r="M474" s="870" t="s">
        <v>382</v>
      </c>
      <c r="N474" s="649">
        <v>16</v>
      </c>
      <c r="O474" s="434">
        <v>1572</v>
      </c>
      <c r="P474" s="469">
        <f>ROUND(N474*O474*12,0)</f>
        <v>301824</v>
      </c>
      <c r="Q474" s="470">
        <v>301824</v>
      </c>
      <c r="R474" s="470">
        <v>301824</v>
      </c>
      <c r="S474" s="470">
        <v>301824</v>
      </c>
      <c r="T474" s="467">
        <v>301824</v>
      </c>
      <c r="U474" s="119">
        <v>301824</v>
      </c>
      <c r="V474" s="119">
        <f t="shared" si="125"/>
        <v>301824</v>
      </c>
      <c r="W474" s="88">
        <v>161234</v>
      </c>
      <c r="X474" s="88">
        <f t="shared" si="126"/>
        <v>161234</v>
      </c>
      <c r="Y474" s="88">
        <f t="shared" si="127"/>
        <v>161234</v>
      </c>
      <c r="Z474" s="88">
        <f t="shared" si="128"/>
        <v>161234</v>
      </c>
      <c r="AE474" s="10"/>
      <c r="AN474" s="3"/>
      <c r="AO474" s="16"/>
      <c r="AP474" s="16"/>
      <c r="AQ474" s="16"/>
      <c r="AR474" s="16"/>
      <c r="AS474" s="16"/>
      <c r="AT474" s="16"/>
      <c r="AU474" s="16"/>
    </row>
    <row r="475" spans="1:47" ht="138.75" customHeight="1">
      <c r="A475" s="859"/>
      <c r="B475" s="893"/>
      <c r="C475" s="894"/>
      <c r="D475" s="894"/>
      <c r="E475" s="894"/>
      <c r="F475" s="894"/>
      <c r="G475" s="894"/>
      <c r="H475" s="895"/>
      <c r="I475" s="850"/>
      <c r="J475" s="429">
        <v>62799.67</v>
      </c>
      <c r="K475" s="477">
        <v>51871.179578</v>
      </c>
      <c r="L475" s="468">
        <v>213</v>
      </c>
      <c r="M475" s="870"/>
      <c r="N475" s="648">
        <v>0.302</v>
      </c>
      <c r="O475" s="434"/>
      <c r="P475" s="469">
        <f>ROUND(P474*N475,0)</f>
        <v>91151</v>
      </c>
      <c r="Q475" s="470">
        <v>91151</v>
      </c>
      <c r="R475" s="470">
        <v>91151</v>
      </c>
      <c r="S475" s="470">
        <v>91151</v>
      </c>
      <c r="T475" s="467">
        <v>91151</v>
      </c>
      <c r="U475" s="119">
        <v>91151</v>
      </c>
      <c r="V475" s="119">
        <f t="shared" si="125"/>
        <v>91151</v>
      </c>
      <c r="W475" s="88">
        <v>48693</v>
      </c>
      <c r="X475" s="88">
        <f t="shared" si="126"/>
        <v>48693</v>
      </c>
      <c r="Y475" s="88">
        <f t="shared" si="127"/>
        <v>48693</v>
      </c>
      <c r="Z475" s="88">
        <f t="shared" si="128"/>
        <v>48693</v>
      </c>
      <c r="AE475" s="10"/>
      <c r="AN475" s="3"/>
      <c r="AO475" s="16"/>
      <c r="AP475" s="16"/>
      <c r="AQ475" s="16"/>
      <c r="AR475" s="16"/>
      <c r="AS475" s="16"/>
      <c r="AT475" s="16"/>
      <c r="AU475" s="16"/>
    </row>
    <row r="476" spans="1:47" ht="89.25" customHeight="1">
      <c r="A476" s="859" t="s">
        <v>168</v>
      </c>
      <c r="B476" s="893"/>
      <c r="C476" s="894"/>
      <c r="D476" s="894"/>
      <c r="E476" s="894"/>
      <c r="F476" s="894"/>
      <c r="G476" s="894"/>
      <c r="H476" s="895"/>
      <c r="I476" s="850"/>
      <c r="J476" s="429">
        <v>31937.79</v>
      </c>
      <c r="K476" s="467">
        <v>32339.870986</v>
      </c>
      <c r="L476" s="468">
        <v>211</v>
      </c>
      <c r="M476" s="882" t="s">
        <v>381</v>
      </c>
      <c r="N476" s="649">
        <v>3</v>
      </c>
      <c r="O476" s="434">
        <v>1532</v>
      </c>
      <c r="P476" s="469">
        <f>ROUND(N476*O476*12,0)</f>
        <v>55152</v>
      </c>
      <c r="Q476" s="470">
        <v>55152</v>
      </c>
      <c r="R476" s="433">
        <v>55152</v>
      </c>
      <c r="S476" s="470">
        <v>55152</v>
      </c>
      <c r="T476" s="467">
        <v>55152</v>
      </c>
      <c r="U476" s="119">
        <v>37728</v>
      </c>
      <c r="V476" s="119">
        <f t="shared" si="125"/>
        <v>37728</v>
      </c>
      <c r="W476" s="88">
        <v>29462</v>
      </c>
      <c r="X476" s="88">
        <f t="shared" si="126"/>
        <v>29462</v>
      </c>
      <c r="Y476" s="88">
        <f t="shared" si="127"/>
        <v>29462</v>
      </c>
      <c r="Z476" s="88">
        <f t="shared" si="128"/>
        <v>29462</v>
      </c>
      <c r="AE476" s="10"/>
      <c r="AN476" s="3"/>
      <c r="AO476" s="16"/>
      <c r="AP476" s="16"/>
      <c r="AQ476" s="16"/>
      <c r="AR476" s="16"/>
      <c r="AS476" s="16"/>
      <c r="AT476" s="16"/>
      <c r="AU476" s="16"/>
    </row>
    <row r="477" spans="1:47" ht="63" customHeight="1">
      <c r="A477" s="859"/>
      <c r="B477" s="893"/>
      <c r="C477" s="894"/>
      <c r="D477" s="894"/>
      <c r="E477" s="894"/>
      <c r="F477" s="894"/>
      <c r="G477" s="894"/>
      <c r="H477" s="895"/>
      <c r="I477" s="850"/>
      <c r="J477" s="429">
        <v>9645.21</v>
      </c>
      <c r="K477" s="467">
        <v>9766.54</v>
      </c>
      <c r="L477" s="468">
        <v>213</v>
      </c>
      <c r="M477" s="882"/>
      <c r="N477" s="648">
        <v>0.302</v>
      </c>
      <c r="O477" s="434"/>
      <c r="P477" s="469">
        <f>ROUND(P476*N477,0)</f>
        <v>16656</v>
      </c>
      <c r="Q477" s="470">
        <v>16656</v>
      </c>
      <c r="R477" s="433">
        <v>16656</v>
      </c>
      <c r="S477" s="470">
        <v>16656</v>
      </c>
      <c r="T477" s="467">
        <v>16656</v>
      </c>
      <c r="U477" s="119">
        <v>11393.86</v>
      </c>
      <c r="V477" s="119">
        <f t="shared" si="125"/>
        <v>11393.86</v>
      </c>
      <c r="W477" s="88">
        <v>8898</v>
      </c>
      <c r="X477" s="88">
        <f t="shared" si="126"/>
        <v>8898</v>
      </c>
      <c r="Y477" s="88">
        <f t="shared" si="127"/>
        <v>8898</v>
      </c>
      <c r="Z477" s="88">
        <f t="shared" si="128"/>
        <v>8898</v>
      </c>
      <c r="AE477" s="10"/>
      <c r="AN477" s="3"/>
      <c r="AO477" s="16"/>
      <c r="AP477" s="16"/>
      <c r="AQ477" s="16"/>
      <c r="AR477" s="16"/>
      <c r="AS477" s="16"/>
      <c r="AT477" s="16"/>
      <c r="AU477" s="16"/>
    </row>
    <row r="478" spans="1:47" ht="45.75" customHeight="1">
      <c r="A478" s="859" t="s">
        <v>169</v>
      </c>
      <c r="B478" s="893"/>
      <c r="C478" s="894"/>
      <c r="D478" s="894"/>
      <c r="E478" s="894"/>
      <c r="F478" s="894"/>
      <c r="G478" s="894"/>
      <c r="H478" s="895"/>
      <c r="I478" s="850"/>
      <c r="J478" s="429">
        <v>32135.3</v>
      </c>
      <c r="K478" s="467">
        <v>18173.00311812</v>
      </c>
      <c r="L478" s="468">
        <v>211</v>
      </c>
      <c r="M478" s="870" t="s">
        <v>380</v>
      </c>
      <c r="N478" s="649">
        <v>2</v>
      </c>
      <c r="O478" s="434">
        <v>1360.5</v>
      </c>
      <c r="P478" s="469">
        <f>ROUND(N478*O478*12,0)</f>
        <v>32652</v>
      </c>
      <c r="Q478" s="478">
        <v>32652</v>
      </c>
      <c r="R478" s="478">
        <v>32652</v>
      </c>
      <c r="S478" s="479">
        <v>32652</v>
      </c>
      <c r="T478" s="484">
        <v>32652</v>
      </c>
      <c r="U478" s="122">
        <v>32652</v>
      </c>
      <c r="V478" s="119">
        <f t="shared" si="125"/>
        <v>32652</v>
      </c>
      <c r="W478" s="88">
        <v>17443</v>
      </c>
      <c r="X478" s="88">
        <f t="shared" si="126"/>
        <v>17443</v>
      </c>
      <c r="Y478" s="88">
        <f t="shared" si="127"/>
        <v>17443</v>
      </c>
      <c r="Z478" s="88">
        <f t="shared" si="128"/>
        <v>17443</v>
      </c>
      <c r="AE478" s="10"/>
      <c r="AN478" s="3"/>
      <c r="AO478" s="16"/>
      <c r="AP478" s="16"/>
      <c r="AQ478" s="16"/>
      <c r="AR478" s="16"/>
      <c r="AS478" s="16"/>
      <c r="AT478" s="16"/>
      <c r="AU478" s="16"/>
    </row>
    <row r="479" spans="1:47" ht="66" customHeight="1">
      <c r="A479" s="859"/>
      <c r="B479" s="893"/>
      <c r="C479" s="894"/>
      <c r="D479" s="894"/>
      <c r="E479" s="894"/>
      <c r="F479" s="894"/>
      <c r="G479" s="894"/>
      <c r="H479" s="895"/>
      <c r="I479" s="850"/>
      <c r="J479" s="429">
        <v>10491.19</v>
      </c>
      <c r="K479" s="467">
        <v>5933.19831806</v>
      </c>
      <c r="L479" s="468">
        <v>213</v>
      </c>
      <c r="M479" s="858"/>
      <c r="N479" s="648">
        <v>0.334</v>
      </c>
      <c r="O479" s="434"/>
      <c r="P479" s="469">
        <f>ROUND(P478*N479,0)</f>
        <v>10906</v>
      </c>
      <c r="Q479" s="478">
        <v>10906</v>
      </c>
      <c r="R479" s="478">
        <v>10906</v>
      </c>
      <c r="S479" s="479">
        <v>10906</v>
      </c>
      <c r="T479" s="484">
        <v>10906</v>
      </c>
      <c r="U479" s="122">
        <v>10906</v>
      </c>
      <c r="V479" s="119">
        <f t="shared" si="125"/>
        <v>10906</v>
      </c>
      <c r="W479" s="88">
        <v>5826</v>
      </c>
      <c r="X479" s="88">
        <f t="shared" si="126"/>
        <v>5826</v>
      </c>
      <c r="Y479" s="88">
        <f t="shared" si="127"/>
        <v>5826</v>
      </c>
      <c r="Z479" s="88">
        <f t="shared" si="128"/>
        <v>5826</v>
      </c>
      <c r="AE479" s="10"/>
      <c r="AN479" s="3"/>
      <c r="AO479" s="16"/>
      <c r="AP479" s="16"/>
      <c r="AQ479" s="16"/>
      <c r="AR479" s="16"/>
      <c r="AS479" s="16"/>
      <c r="AT479" s="16"/>
      <c r="AU479" s="16"/>
    </row>
    <row r="480" spans="1:47" ht="39" customHeight="1">
      <c r="A480" s="859" t="s">
        <v>170</v>
      </c>
      <c r="B480" s="893"/>
      <c r="C480" s="894"/>
      <c r="D480" s="894"/>
      <c r="E480" s="894"/>
      <c r="F480" s="894"/>
      <c r="G480" s="894"/>
      <c r="H480" s="895"/>
      <c r="I480" s="850"/>
      <c r="J480" s="429">
        <v>36271.53</v>
      </c>
      <c r="K480" s="467">
        <v>29777.613346000002</v>
      </c>
      <c r="L480" s="468">
        <v>211</v>
      </c>
      <c r="M480" s="870" t="s">
        <v>379</v>
      </c>
      <c r="N480" s="638">
        <v>2</v>
      </c>
      <c r="O480" s="434">
        <v>1572</v>
      </c>
      <c r="P480" s="469">
        <f>ROUND(N480*O480*12,0)</f>
        <v>37728</v>
      </c>
      <c r="Q480" s="475">
        <v>37728</v>
      </c>
      <c r="R480" s="475">
        <v>37728</v>
      </c>
      <c r="S480" s="475">
        <v>37728</v>
      </c>
      <c r="T480" s="476">
        <v>37728</v>
      </c>
      <c r="U480" s="88">
        <v>37728</v>
      </c>
      <c r="V480" s="119">
        <f t="shared" si="125"/>
        <v>37728</v>
      </c>
      <c r="W480" s="88">
        <v>20154</v>
      </c>
      <c r="X480" s="88">
        <f t="shared" si="126"/>
        <v>20154</v>
      </c>
      <c r="Y480" s="88">
        <f t="shared" si="127"/>
        <v>20154</v>
      </c>
      <c r="Z480" s="88">
        <f t="shared" si="128"/>
        <v>20154</v>
      </c>
      <c r="AE480" s="10"/>
      <c r="AN480" s="3"/>
      <c r="AO480" s="16"/>
      <c r="AP480" s="16"/>
      <c r="AQ480" s="16"/>
      <c r="AR480" s="16"/>
      <c r="AS480" s="16"/>
      <c r="AT480" s="16"/>
      <c r="AU480" s="16"/>
    </row>
    <row r="481" spans="1:47" ht="69" customHeight="1">
      <c r="A481" s="859"/>
      <c r="B481" s="893"/>
      <c r="C481" s="894"/>
      <c r="D481" s="894"/>
      <c r="E481" s="894"/>
      <c r="F481" s="894"/>
      <c r="G481" s="894"/>
      <c r="H481" s="895"/>
      <c r="I481" s="850"/>
      <c r="J481" s="429">
        <v>10954.04</v>
      </c>
      <c r="K481" s="467">
        <v>8992.433994</v>
      </c>
      <c r="L481" s="468">
        <v>213</v>
      </c>
      <c r="M481" s="870"/>
      <c r="N481" s="648">
        <v>0.302</v>
      </c>
      <c r="O481" s="434"/>
      <c r="P481" s="469">
        <f>ROUND(P480*N481,0)</f>
        <v>11394</v>
      </c>
      <c r="Q481" s="475">
        <v>11394</v>
      </c>
      <c r="R481" s="475">
        <v>11394</v>
      </c>
      <c r="S481" s="475">
        <v>11394</v>
      </c>
      <c r="T481" s="476">
        <v>11394</v>
      </c>
      <c r="U481" s="88">
        <v>11394</v>
      </c>
      <c r="V481" s="119">
        <f t="shared" si="125"/>
        <v>11394</v>
      </c>
      <c r="W481" s="88">
        <v>6087</v>
      </c>
      <c r="X481" s="88">
        <f t="shared" si="126"/>
        <v>6087</v>
      </c>
      <c r="Y481" s="88">
        <f t="shared" si="127"/>
        <v>6087</v>
      </c>
      <c r="Z481" s="88">
        <f t="shared" si="128"/>
        <v>6087</v>
      </c>
      <c r="AE481" s="10"/>
      <c r="AN481" s="3"/>
      <c r="AO481" s="16"/>
      <c r="AP481" s="16"/>
      <c r="AQ481" s="16"/>
      <c r="AR481" s="16"/>
      <c r="AS481" s="16"/>
      <c r="AT481" s="16"/>
      <c r="AU481" s="16"/>
    </row>
    <row r="482" spans="1:47" ht="59.25" customHeight="1">
      <c r="A482" s="868" t="s">
        <v>171</v>
      </c>
      <c r="B482" s="893"/>
      <c r="C482" s="894"/>
      <c r="D482" s="894"/>
      <c r="E482" s="894"/>
      <c r="F482" s="894"/>
      <c r="G482" s="894"/>
      <c r="H482" s="895"/>
      <c r="I482" s="850"/>
      <c r="J482" s="429">
        <v>24031</v>
      </c>
      <c r="K482" s="467">
        <v>19135.376184480003</v>
      </c>
      <c r="L482" s="468">
        <v>211</v>
      </c>
      <c r="M482" s="881" t="s">
        <v>519</v>
      </c>
      <c r="N482" s="652">
        <v>3</v>
      </c>
      <c r="O482" s="486">
        <v>1250</v>
      </c>
      <c r="P482" s="469">
        <f>ROUND(N482*O482*12,0)</f>
        <v>45000</v>
      </c>
      <c r="Q482" s="475">
        <v>45000</v>
      </c>
      <c r="R482" s="475">
        <v>45000</v>
      </c>
      <c r="S482" s="475">
        <v>45000</v>
      </c>
      <c r="T482" s="476">
        <v>45000</v>
      </c>
      <c r="U482" s="88">
        <v>45000</v>
      </c>
      <c r="V482" s="119">
        <f t="shared" si="125"/>
        <v>45000</v>
      </c>
      <c r="W482" s="88">
        <v>24039</v>
      </c>
      <c r="X482" s="88">
        <f t="shared" si="126"/>
        <v>24039</v>
      </c>
      <c r="Y482" s="88">
        <f t="shared" si="127"/>
        <v>24039</v>
      </c>
      <c r="Z482" s="88">
        <f t="shared" si="128"/>
        <v>24039</v>
      </c>
      <c r="AE482" s="10"/>
      <c r="AN482" s="3"/>
      <c r="AO482" s="16"/>
      <c r="AP482" s="16"/>
      <c r="AQ482" s="16"/>
      <c r="AR482" s="16"/>
      <c r="AS482" s="16"/>
      <c r="AT482" s="16"/>
      <c r="AU482" s="16"/>
    </row>
    <row r="483" spans="1:47" ht="63" customHeight="1">
      <c r="A483" s="868"/>
      <c r="B483" s="893"/>
      <c r="C483" s="894"/>
      <c r="D483" s="894"/>
      <c r="E483" s="894"/>
      <c r="F483" s="894"/>
      <c r="G483" s="894"/>
      <c r="H483" s="895"/>
      <c r="I483" s="850"/>
      <c r="J483" s="429">
        <v>7257</v>
      </c>
      <c r="K483" s="467">
        <v>5778.7087200000005</v>
      </c>
      <c r="L483" s="468">
        <v>213</v>
      </c>
      <c r="M483" s="858"/>
      <c r="N483" s="648">
        <v>0.325</v>
      </c>
      <c r="O483" s="486"/>
      <c r="P483" s="469">
        <f>ROUND(P482*N483,0)</f>
        <v>14625</v>
      </c>
      <c r="Q483" s="475">
        <v>14625</v>
      </c>
      <c r="R483" s="475">
        <v>14625</v>
      </c>
      <c r="S483" s="475">
        <v>14625</v>
      </c>
      <c r="T483" s="476">
        <v>14625</v>
      </c>
      <c r="U483" s="88">
        <v>14625</v>
      </c>
      <c r="V483" s="119">
        <f t="shared" si="125"/>
        <v>14625</v>
      </c>
      <c r="W483" s="88">
        <v>7813</v>
      </c>
      <c r="X483" s="88">
        <f t="shared" si="126"/>
        <v>7813</v>
      </c>
      <c r="Y483" s="88">
        <f t="shared" si="127"/>
        <v>7813</v>
      </c>
      <c r="Z483" s="88">
        <f t="shared" si="128"/>
        <v>7813</v>
      </c>
      <c r="AE483" s="10"/>
      <c r="AN483" s="3"/>
      <c r="AO483" s="16"/>
      <c r="AP483" s="16"/>
      <c r="AQ483" s="16"/>
      <c r="AR483" s="16"/>
      <c r="AS483" s="16"/>
      <c r="AT483" s="16"/>
      <c r="AU483" s="16"/>
    </row>
    <row r="484" spans="1:47" ht="46.5" customHeight="1">
      <c r="A484" s="859" t="s">
        <v>172</v>
      </c>
      <c r="B484" s="893"/>
      <c r="C484" s="894"/>
      <c r="D484" s="894"/>
      <c r="E484" s="894"/>
      <c r="F484" s="894"/>
      <c r="G484" s="894"/>
      <c r="H484" s="895"/>
      <c r="I484" s="850"/>
      <c r="J484" s="429">
        <v>20903</v>
      </c>
      <c r="K484" s="467">
        <v>15965.045742000002</v>
      </c>
      <c r="L484" s="468">
        <v>211</v>
      </c>
      <c r="M484" s="871" t="s">
        <v>262</v>
      </c>
      <c r="N484" s="647">
        <v>2</v>
      </c>
      <c r="O484" s="467">
        <v>1452</v>
      </c>
      <c r="P484" s="469">
        <f>ROUND(N484*O484*12,0)</f>
        <v>34848</v>
      </c>
      <c r="Q484" s="470">
        <v>34848</v>
      </c>
      <c r="R484" s="470">
        <v>34848</v>
      </c>
      <c r="S484" s="470">
        <v>34848</v>
      </c>
      <c r="T484" s="467">
        <v>34848</v>
      </c>
      <c r="U484" s="119">
        <v>34848</v>
      </c>
      <c r="V484" s="119">
        <f t="shared" si="125"/>
        <v>34848</v>
      </c>
      <c r="W484" s="88">
        <v>18615</v>
      </c>
      <c r="X484" s="88">
        <f t="shared" si="126"/>
        <v>18615</v>
      </c>
      <c r="Y484" s="88">
        <f t="shared" si="127"/>
        <v>18615</v>
      </c>
      <c r="Z484" s="88">
        <f t="shared" si="128"/>
        <v>18615</v>
      </c>
      <c r="AE484" s="10"/>
      <c r="AN484" s="3"/>
      <c r="AO484" s="16"/>
      <c r="AP484" s="16"/>
      <c r="AQ484" s="16"/>
      <c r="AR484" s="16"/>
      <c r="AS484" s="16"/>
      <c r="AT484" s="16"/>
      <c r="AU484" s="16"/>
    </row>
    <row r="485" spans="1:47" ht="64.5" customHeight="1">
      <c r="A485" s="859"/>
      <c r="B485" s="893"/>
      <c r="C485" s="894"/>
      <c r="D485" s="894"/>
      <c r="E485" s="894"/>
      <c r="F485" s="894"/>
      <c r="G485" s="894"/>
      <c r="H485" s="895"/>
      <c r="I485" s="850"/>
      <c r="J485" s="429">
        <v>7164.7</v>
      </c>
      <c r="K485" s="467">
        <v>5539.74</v>
      </c>
      <c r="L485" s="468">
        <v>213</v>
      </c>
      <c r="M485" s="871"/>
      <c r="N485" s="648">
        <v>0.302</v>
      </c>
      <c r="O485" s="467"/>
      <c r="P485" s="469">
        <f>ROUND(P484*N485,0)</f>
        <v>10524</v>
      </c>
      <c r="Q485" s="470">
        <v>10524</v>
      </c>
      <c r="R485" s="470">
        <v>10524</v>
      </c>
      <c r="S485" s="470">
        <v>10524</v>
      </c>
      <c r="T485" s="467">
        <v>10524</v>
      </c>
      <c r="U485" s="119">
        <v>10524</v>
      </c>
      <c r="V485" s="119">
        <f t="shared" si="125"/>
        <v>10524</v>
      </c>
      <c r="W485" s="88">
        <v>5622</v>
      </c>
      <c r="X485" s="88">
        <f t="shared" si="126"/>
        <v>5622</v>
      </c>
      <c r="Y485" s="88">
        <f t="shared" si="127"/>
        <v>5622</v>
      </c>
      <c r="Z485" s="88">
        <f t="shared" si="128"/>
        <v>5622</v>
      </c>
      <c r="AE485" s="10"/>
      <c r="AN485" s="3"/>
      <c r="AO485" s="16"/>
      <c r="AP485" s="16"/>
      <c r="AQ485" s="16"/>
      <c r="AR485" s="16"/>
      <c r="AS485" s="16"/>
      <c r="AT485" s="16"/>
      <c r="AU485" s="16"/>
    </row>
    <row r="486" spans="1:47" ht="42" customHeight="1">
      <c r="A486" s="859" t="s">
        <v>173</v>
      </c>
      <c r="B486" s="893"/>
      <c r="C486" s="894"/>
      <c r="D486" s="894"/>
      <c r="E486" s="894"/>
      <c r="F486" s="894"/>
      <c r="G486" s="894"/>
      <c r="H486" s="895"/>
      <c r="I486" s="850"/>
      <c r="J486" s="467">
        <v>58333.55</v>
      </c>
      <c r="K486" s="477">
        <v>38921.40226116</v>
      </c>
      <c r="L486" s="468">
        <v>211</v>
      </c>
      <c r="M486" s="870" t="s">
        <v>378</v>
      </c>
      <c r="N486" s="643">
        <v>4</v>
      </c>
      <c r="O486" s="430">
        <v>1731</v>
      </c>
      <c r="P486" s="469">
        <f>ROUND(N486*O486*12,0)</f>
        <v>83088</v>
      </c>
      <c r="Q486" s="487">
        <v>83088</v>
      </c>
      <c r="R486" s="488">
        <v>83088</v>
      </c>
      <c r="S486" s="487">
        <v>83088</v>
      </c>
      <c r="T486" s="489">
        <v>83088</v>
      </c>
      <c r="U486" s="123">
        <v>83088</v>
      </c>
      <c r="V486" s="119">
        <f t="shared" si="125"/>
        <v>83088</v>
      </c>
      <c r="W486" s="88">
        <v>44386</v>
      </c>
      <c r="X486" s="88">
        <f t="shared" si="126"/>
        <v>44386</v>
      </c>
      <c r="Y486" s="88">
        <f t="shared" si="127"/>
        <v>44386</v>
      </c>
      <c r="Z486" s="88">
        <f t="shared" si="128"/>
        <v>44386</v>
      </c>
      <c r="AE486" s="10"/>
      <c r="AN486" s="3"/>
      <c r="AO486" s="16"/>
      <c r="AP486" s="16"/>
      <c r="AQ486" s="16"/>
      <c r="AR486" s="16"/>
      <c r="AS486" s="16"/>
      <c r="AT486" s="16"/>
      <c r="AU486" s="16"/>
    </row>
    <row r="487" spans="1:47" ht="88.5" customHeight="1">
      <c r="A487" s="859"/>
      <c r="B487" s="893"/>
      <c r="C487" s="894"/>
      <c r="D487" s="894"/>
      <c r="E487" s="894"/>
      <c r="F487" s="894"/>
      <c r="G487" s="894"/>
      <c r="H487" s="895"/>
      <c r="I487" s="850"/>
      <c r="J487" s="467">
        <v>16273.33</v>
      </c>
      <c r="K487" s="477">
        <v>11754.584074000002</v>
      </c>
      <c r="L487" s="468">
        <v>213</v>
      </c>
      <c r="M487" s="858"/>
      <c r="N487" s="648">
        <v>0.302</v>
      </c>
      <c r="O487" s="430"/>
      <c r="P487" s="469">
        <f>ROUND(P486*N487,0)</f>
        <v>25093</v>
      </c>
      <c r="Q487" s="487">
        <v>25093</v>
      </c>
      <c r="R487" s="488">
        <v>25093</v>
      </c>
      <c r="S487" s="487">
        <v>25093</v>
      </c>
      <c r="T487" s="489">
        <v>25093</v>
      </c>
      <c r="U487" s="123">
        <v>25093</v>
      </c>
      <c r="V487" s="119">
        <f t="shared" si="125"/>
        <v>25093</v>
      </c>
      <c r="W487" s="88">
        <v>43405</v>
      </c>
      <c r="X487" s="88">
        <f t="shared" si="126"/>
        <v>43405</v>
      </c>
      <c r="Y487" s="88">
        <f t="shared" si="127"/>
        <v>43405</v>
      </c>
      <c r="Z487" s="88">
        <f t="shared" si="128"/>
        <v>43405</v>
      </c>
      <c r="AE487" s="10"/>
      <c r="AN487" s="3"/>
      <c r="AO487" s="16"/>
      <c r="AP487" s="16"/>
      <c r="AQ487" s="16"/>
      <c r="AR487" s="16"/>
      <c r="AS487" s="16"/>
      <c r="AT487" s="16"/>
      <c r="AU487" s="16"/>
    </row>
    <row r="488" spans="1:47" ht="42.75" customHeight="1">
      <c r="A488" s="859" t="s">
        <v>174</v>
      </c>
      <c r="B488" s="893"/>
      <c r="C488" s="894"/>
      <c r="D488" s="894"/>
      <c r="E488" s="894"/>
      <c r="F488" s="894"/>
      <c r="G488" s="894"/>
      <c r="H488" s="895"/>
      <c r="I488" s="850"/>
      <c r="J488" s="429">
        <v>8421.59</v>
      </c>
      <c r="K488" s="467">
        <v>5562.316067680001</v>
      </c>
      <c r="L488" s="468">
        <v>211</v>
      </c>
      <c r="M488" s="871" t="s">
        <v>377</v>
      </c>
      <c r="N488" s="649">
        <v>1</v>
      </c>
      <c r="O488" s="467">
        <v>1452</v>
      </c>
      <c r="P488" s="469">
        <f>ROUND(N488*O488*12,0)</f>
        <v>17424</v>
      </c>
      <c r="Q488" s="469">
        <v>17424</v>
      </c>
      <c r="R488" s="469">
        <v>17424</v>
      </c>
      <c r="S488" s="469">
        <v>17424</v>
      </c>
      <c r="T488" s="46">
        <v>17424</v>
      </c>
      <c r="U488" s="47">
        <v>17424</v>
      </c>
      <c r="V488" s="119">
        <f t="shared" si="125"/>
        <v>17424</v>
      </c>
      <c r="W488" s="88">
        <v>9308</v>
      </c>
      <c r="X488" s="88">
        <f t="shared" si="126"/>
        <v>9308</v>
      </c>
      <c r="Y488" s="88">
        <f t="shared" si="127"/>
        <v>9308</v>
      </c>
      <c r="Z488" s="88">
        <f t="shared" si="128"/>
        <v>9308</v>
      </c>
      <c r="AE488" s="10"/>
      <c r="AN488" s="3"/>
      <c r="AO488" s="16"/>
      <c r="AP488" s="16"/>
      <c r="AQ488" s="16"/>
      <c r="AR488" s="16"/>
      <c r="AS488" s="16"/>
      <c r="AT488" s="16"/>
      <c r="AU488" s="16"/>
    </row>
    <row r="489" spans="1:47" ht="62.25" customHeight="1">
      <c r="A489" s="859"/>
      <c r="B489" s="893"/>
      <c r="C489" s="894"/>
      <c r="D489" s="894"/>
      <c r="E489" s="894"/>
      <c r="F489" s="894"/>
      <c r="G489" s="894"/>
      <c r="H489" s="895"/>
      <c r="I489" s="850"/>
      <c r="J489" s="429">
        <v>2543.25</v>
      </c>
      <c r="K489" s="467">
        <v>1679.8233776</v>
      </c>
      <c r="L489" s="468">
        <v>213</v>
      </c>
      <c r="M489" s="871"/>
      <c r="N489" s="648">
        <v>0.392</v>
      </c>
      <c r="O489" s="467"/>
      <c r="P489" s="469">
        <f>ROUND(P488*N489,0)</f>
        <v>6830</v>
      </c>
      <c r="Q489" s="469">
        <v>6830</v>
      </c>
      <c r="R489" s="469">
        <v>6830</v>
      </c>
      <c r="S489" s="469">
        <v>6830</v>
      </c>
      <c r="T489" s="46">
        <v>6830</v>
      </c>
      <c r="U489" s="47">
        <v>6830</v>
      </c>
      <c r="V489" s="119">
        <f t="shared" si="125"/>
        <v>6830</v>
      </c>
      <c r="W489" s="88">
        <v>3649</v>
      </c>
      <c r="X489" s="88">
        <f t="shared" si="126"/>
        <v>3649</v>
      </c>
      <c r="Y489" s="88">
        <f t="shared" si="127"/>
        <v>3649</v>
      </c>
      <c r="Z489" s="88">
        <f t="shared" si="128"/>
        <v>3649</v>
      </c>
      <c r="AE489" s="10"/>
      <c r="AN489" s="3"/>
      <c r="AO489" s="16"/>
      <c r="AP489" s="16"/>
      <c r="AQ489" s="16"/>
      <c r="AR489" s="16"/>
      <c r="AS489" s="16"/>
      <c r="AT489" s="16"/>
      <c r="AU489" s="16"/>
    </row>
    <row r="490" spans="1:47" ht="33" customHeight="1">
      <c r="A490" s="859" t="s">
        <v>175</v>
      </c>
      <c r="B490" s="893"/>
      <c r="C490" s="894"/>
      <c r="D490" s="894"/>
      <c r="E490" s="894"/>
      <c r="F490" s="894"/>
      <c r="G490" s="894"/>
      <c r="H490" s="895"/>
      <c r="I490" s="850"/>
      <c r="J490" s="429">
        <v>16950</v>
      </c>
      <c r="K490" s="467">
        <v>17210.5573636</v>
      </c>
      <c r="L490" s="468">
        <v>211</v>
      </c>
      <c r="M490" s="871" t="s">
        <v>376</v>
      </c>
      <c r="N490" s="653">
        <v>2</v>
      </c>
      <c r="O490" s="467">
        <v>1692</v>
      </c>
      <c r="P490" s="469">
        <f>ROUND(N490*O490*12,0)</f>
        <v>40608</v>
      </c>
      <c r="Q490" s="470">
        <v>40608</v>
      </c>
      <c r="R490" s="470">
        <v>40608</v>
      </c>
      <c r="S490" s="470">
        <v>40608</v>
      </c>
      <c r="T490" s="467">
        <v>40608</v>
      </c>
      <c r="U490" s="119">
        <v>40608</v>
      </c>
      <c r="V490" s="119">
        <f t="shared" si="125"/>
        <v>40608</v>
      </c>
      <c r="W490" s="88">
        <v>21693</v>
      </c>
      <c r="X490" s="88">
        <f t="shared" si="126"/>
        <v>21693</v>
      </c>
      <c r="Y490" s="88">
        <f t="shared" si="127"/>
        <v>21693</v>
      </c>
      <c r="Z490" s="88">
        <f t="shared" si="128"/>
        <v>21693</v>
      </c>
      <c r="AE490" s="10"/>
      <c r="AN490" s="3"/>
      <c r="AO490" s="16"/>
      <c r="AP490" s="16"/>
      <c r="AQ490" s="16"/>
      <c r="AR490" s="16"/>
      <c r="AS490" s="16"/>
      <c r="AT490" s="16"/>
      <c r="AU490" s="16"/>
    </row>
    <row r="491" spans="1:47" ht="66.75" customHeight="1">
      <c r="A491" s="859"/>
      <c r="B491" s="893"/>
      <c r="C491" s="894"/>
      <c r="D491" s="894"/>
      <c r="E491" s="894"/>
      <c r="F491" s="894"/>
      <c r="G491" s="894"/>
      <c r="H491" s="895"/>
      <c r="I491" s="850"/>
      <c r="J491" s="429">
        <v>5311</v>
      </c>
      <c r="K491" s="467">
        <v>5197.20344</v>
      </c>
      <c r="L491" s="468">
        <v>213</v>
      </c>
      <c r="M491" s="858"/>
      <c r="N491" s="648">
        <v>0.302</v>
      </c>
      <c r="O491" s="467"/>
      <c r="P491" s="469">
        <f>ROUND(P490*N491,0)</f>
        <v>12264</v>
      </c>
      <c r="Q491" s="470">
        <v>12264</v>
      </c>
      <c r="R491" s="470">
        <v>12264</v>
      </c>
      <c r="S491" s="470">
        <v>12264</v>
      </c>
      <c r="T491" s="467">
        <v>12264</v>
      </c>
      <c r="U491" s="119">
        <v>12264</v>
      </c>
      <c r="V491" s="119">
        <f t="shared" si="125"/>
        <v>12264</v>
      </c>
      <c r="W491" s="88">
        <v>6551</v>
      </c>
      <c r="X491" s="88">
        <f t="shared" si="126"/>
        <v>6551</v>
      </c>
      <c r="Y491" s="88">
        <f t="shared" si="127"/>
        <v>6551</v>
      </c>
      <c r="Z491" s="88">
        <f t="shared" si="128"/>
        <v>6551</v>
      </c>
      <c r="AE491" s="10"/>
      <c r="AN491" s="3"/>
      <c r="AO491" s="16"/>
      <c r="AP491" s="16"/>
      <c r="AQ491" s="16"/>
      <c r="AR491" s="16"/>
      <c r="AS491" s="16"/>
      <c r="AT491" s="16"/>
      <c r="AU491" s="16"/>
    </row>
    <row r="492" spans="1:47" ht="37.5" customHeight="1">
      <c r="A492" s="859" t="s">
        <v>176</v>
      </c>
      <c r="B492" s="893"/>
      <c r="C492" s="894"/>
      <c r="D492" s="894"/>
      <c r="E492" s="894"/>
      <c r="F492" s="894"/>
      <c r="G492" s="894"/>
      <c r="H492" s="895"/>
      <c r="I492" s="850"/>
      <c r="J492" s="429">
        <v>8162.4</v>
      </c>
      <c r="K492" s="467">
        <v>7416.009524000001</v>
      </c>
      <c r="L492" s="468">
        <v>211</v>
      </c>
      <c r="M492" s="870" t="s">
        <v>375</v>
      </c>
      <c r="N492" s="649">
        <v>1</v>
      </c>
      <c r="O492" s="434">
        <v>1452</v>
      </c>
      <c r="P492" s="469">
        <f>ROUND(N492*O492*12,0)</f>
        <v>17424</v>
      </c>
      <c r="Q492" s="475">
        <v>17424</v>
      </c>
      <c r="R492" s="475">
        <v>17424</v>
      </c>
      <c r="S492" s="475">
        <v>17424</v>
      </c>
      <c r="T492" s="476">
        <v>17424</v>
      </c>
      <c r="U492" s="88">
        <v>17424</v>
      </c>
      <c r="V492" s="119">
        <f t="shared" si="125"/>
        <v>17424</v>
      </c>
      <c r="W492" s="88">
        <v>9308</v>
      </c>
      <c r="X492" s="88">
        <f t="shared" si="126"/>
        <v>9308</v>
      </c>
      <c r="Y492" s="88">
        <f t="shared" si="127"/>
        <v>9308</v>
      </c>
      <c r="Z492" s="88">
        <f t="shared" si="128"/>
        <v>9308</v>
      </c>
      <c r="AE492" s="10"/>
      <c r="AN492" s="3"/>
      <c r="AO492" s="16"/>
      <c r="AP492" s="16"/>
      <c r="AQ492" s="16"/>
      <c r="AR492" s="16"/>
      <c r="AS492" s="16"/>
      <c r="AT492" s="16"/>
      <c r="AU492" s="16"/>
    </row>
    <row r="493" spans="1:47" ht="54" customHeight="1">
      <c r="A493" s="859"/>
      <c r="B493" s="893"/>
      <c r="C493" s="894"/>
      <c r="D493" s="894"/>
      <c r="E493" s="894"/>
      <c r="F493" s="894"/>
      <c r="G493" s="894"/>
      <c r="H493" s="895"/>
      <c r="I493" s="850"/>
      <c r="J493" s="429">
        <v>3341.55</v>
      </c>
      <c r="K493" s="467">
        <v>2239.70393</v>
      </c>
      <c r="L493" s="468">
        <v>213</v>
      </c>
      <c r="M493" s="858"/>
      <c r="N493" s="648">
        <v>0.392</v>
      </c>
      <c r="O493" s="434"/>
      <c r="P493" s="469">
        <f>ROUND(P492*N493,0)</f>
        <v>6830</v>
      </c>
      <c r="Q493" s="475">
        <v>6830</v>
      </c>
      <c r="R493" s="475">
        <v>6830</v>
      </c>
      <c r="S493" s="475">
        <v>6830</v>
      </c>
      <c r="T493" s="476">
        <v>6830</v>
      </c>
      <c r="U493" s="88">
        <v>6830</v>
      </c>
      <c r="V493" s="119">
        <f t="shared" si="125"/>
        <v>6830</v>
      </c>
      <c r="W493" s="88">
        <v>3649</v>
      </c>
      <c r="X493" s="88">
        <f t="shared" si="126"/>
        <v>3649</v>
      </c>
      <c r="Y493" s="88">
        <f t="shared" si="127"/>
        <v>3649</v>
      </c>
      <c r="Z493" s="88">
        <f t="shared" si="128"/>
        <v>3649</v>
      </c>
      <c r="AE493" s="10"/>
      <c r="AN493" s="3"/>
      <c r="AO493" s="16"/>
      <c r="AP493" s="16"/>
      <c r="AQ493" s="16"/>
      <c r="AR493" s="16"/>
      <c r="AS493" s="16"/>
      <c r="AT493" s="16"/>
      <c r="AU493" s="16"/>
    </row>
    <row r="494" spans="1:47" ht="94.5" customHeight="1">
      <c r="A494" s="859" t="s">
        <v>177</v>
      </c>
      <c r="B494" s="893"/>
      <c r="C494" s="894"/>
      <c r="D494" s="894"/>
      <c r="E494" s="894"/>
      <c r="F494" s="894"/>
      <c r="G494" s="894"/>
      <c r="H494" s="895"/>
      <c r="I494" s="850"/>
      <c r="J494" s="429">
        <v>32083.52</v>
      </c>
      <c r="K494" s="467">
        <v>24570.63334848</v>
      </c>
      <c r="L494" s="468">
        <v>211</v>
      </c>
      <c r="M494" s="870" t="s">
        <v>374</v>
      </c>
      <c r="N494" s="649">
        <v>4</v>
      </c>
      <c r="O494" s="434">
        <v>1149</v>
      </c>
      <c r="P494" s="469">
        <f>ROUND(N494*O494*12,0)</f>
        <v>55152</v>
      </c>
      <c r="Q494" s="470">
        <v>55152</v>
      </c>
      <c r="R494" s="433">
        <v>55152</v>
      </c>
      <c r="S494" s="470">
        <v>55152</v>
      </c>
      <c r="T494" s="467">
        <v>55152</v>
      </c>
      <c r="U494" s="119">
        <v>55152</v>
      </c>
      <c r="V494" s="119">
        <f t="shared" si="125"/>
        <v>55152</v>
      </c>
      <c r="W494" s="47">
        <v>29462</v>
      </c>
      <c r="X494" s="88">
        <f t="shared" si="126"/>
        <v>29462</v>
      </c>
      <c r="Y494" s="88">
        <f t="shared" si="127"/>
        <v>29462</v>
      </c>
      <c r="Z494" s="88">
        <f t="shared" si="128"/>
        <v>29462</v>
      </c>
      <c r="AE494" s="10"/>
      <c r="AN494" s="3"/>
      <c r="AO494" s="16"/>
      <c r="AP494" s="16"/>
      <c r="AQ494" s="16"/>
      <c r="AR494" s="16"/>
      <c r="AS494" s="16"/>
      <c r="AT494" s="16"/>
      <c r="AU494" s="16"/>
    </row>
    <row r="495" spans="1:47" ht="96.75" customHeight="1">
      <c r="A495" s="859"/>
      <c r="B495" s="893"/>
      <c r="C495" s="894"/>
      <c r="D495" s="894"/>
      <c r="E495" s="894"/>
      <c r="F495" s="894"/>
      <c r="G495" s="894"/>
      <c r="H495" s="895"/>
      <c r="I495" s="850"/>
      <c r="J495" s="429">
        <v>10769.68</v>
      </c>
      <c r="K495" s="467">
        <v>7420.552534</v>
      </c>
      <c r="L495" s="468">
        <v>213</v>
      </c>
      <c r="M495" s="870"/>
      <c r="N495" s="648">
        <v>0.302</v>
      </c>
      <c r="O495" s="434"/>
      <c r="P495" s="469">
        <f>ROUND(P494*N495,0)</f>
        <v>16656</v>
      </c>
      <c r="Q495" s="470">
        <v>16656</v>
      </c>
      <c r="R495" s="433">
        <v>16656</v>
      </c>
      <c r="S495" s="470">
        <v>16656</v>
      </c>
      <c r="T495" s="467">
        <v>16656</v>
      </c>
      <c r="U495" s="119">
        <v>16656</v>
      </c>
      <c r="V495" s="119">
        <f t="shared" si="125"/>
        <v>16656</v>
      </c>
      <c r="W495" s="47">
        <v>8898</v>
      </c>
      <c r="X495" s="88">
        <f t="shared" si="126"/>
        <v>8898</v>
      </c>
      <c r="Y495" s="88">
        <f t="shared" si="127"/>
        <v>8898</v>
      </c>
      <c r="Z495" s="88">
        <f t="shared" si="128"/>
        <v>8898</v>
      </c>
      <c r="AE495" s="10"/>
      <c r="AN495" s="3"/>
      <c r="AO495" s="16"/>
      <c r="AP495" s="16"/>
      <c r="AQ495" s="16"/>
      <c r="AR495" s="16"/>
      <c r="AS495" s="16"/>
      <c r="AT495" s="16"/>
      <c r="AU495" s="16"/>
    </row>
    <row r="496" spans="1:47" ht="45" customHeight="1">
      <c r="A496" s="859" t="s">
        <v>178</v>
      </c>
      <c r="B496" s="893"/>
      <c r="C496" s="894"/>
      <c r="D496" s="894"/>
      <c r="E496" s="894"/>
      <c r="F496" s="894"/>
      <c r="G496" s="894"/>
      <c r="H496" s="895"/>
      <c r="I496" s="850"/>
      <c r="J496" s="481">
        <v>86620</v>
      </c>
      <c r="K496" s="477">
        <v>75353.27138640001</v>
      </c>
      <c r="L496" s="468">
        <v>211</v>
      </c>
      <c r="M496" s="878" t="s">
        <v>343</v>
      </c>
      <c r="N496" s="654">
        <v>10</v>
      </c>
      <c r="O496" s="490">
        <v>1476</v>
      </c>
      <c r="P496" s="469">
        <f>ROUND(N496*O496*12,0)</f>
        <v>177120</v>
      </c>
      <c r="Q496" s="475">
        <v>177120</v>
      </c>
      <c r="R496" s="475">
        <v>177120</v>
      </c>
      <c r="S496" s="475">
        <v>177120</v>
      </c>
      <c r="T496" s="476">
        <v>177120</v>
      </c>
      <c r="U496" s="88">
        <v>177120</v>
      </c>
      <c r="V496" s="119">
        <f t="shared" si="125"/>
        <v>177120</v>
      </c>
      <c r="W496" s="47">
        <v>94618</v>
      </c>
      <c r="X496" s="88">
        <f t="shared" si="126"/>
        <v>94618</v>
      </c>
      <c r="Y496" s="88">
        <f>W496</f>
        <v>94618</v>
      </c>
      <c r="Z496" s="88">
        <f t="shared" si="128"/>
        <v>94618</v>
      </c>
      <c r="AE496" s="10"/>
      <c r="AN496" s="3"/>
      <c r="AO496" s="16"/>
      <c r="AP496" s="16"/>
      <c r="AQ496" s="16"/>
      <c r="AR496" s="16"/>
      <c r="AS496" s="16"/>
      <c r="AT496" s="16"/>
      <c r="AU496" s="16"/>
    </row>
    <row r="497" spans="1:47" ht="78.75" customHeight="1">
      <c r="A497" s="859"/>
      <c r="B497" s="893"/>
      <c r="C497" s="894"/>
      <c r="D497" s="894"/>
      <c r="E497" s="894"/>
      <c r="F497" s="894"/>
      <c r="G497" s="894"/>
      <c r="H497" s="895"/>
      <c r="I497" s="850"/>
      <c r="J497" s="481">
        <v>27694.2</v>
      </c>
      <c r="K497" s="477">
        <v>22756.845692000003</v>
      </c>
      <c r="L497" s="468">
        <v>213</v>
      </c>
      <c r="M497" s="858"/>
      <c r="N497" s="648">
        <v>0.318</v>
      </c>
      <c r="O497" s="490"/>
      <c r="P497" s="469">
        <f>ROUND(P496*N497,0)</f>
        <v>56324</v>
      </c>
      <c r="Q497" s="475">
        <v>56324</v>
      </c>
      <c r="R497" s="475">
        <v>56324</v>
      </c>
      <c r="S497" s="475">
        <v>56324</v>
      </c>
      <c r="T497" s="476">
        <v>56324</v>
      </c>
      <c r="U497" s="88">
        <v>56324</v>
      </c>
      <c r="V497" s="119">
        <f t="shared" si="125"/>
        <v>56324</v>
      </c>
      <c r="W497" s="47">
        <v>30088</v>
      </c>
      <c r="X497" s="88">
        <f t="shared" si="126"/>
        <v>30088</v>
      </c>
      <c r="Y497" s="88">
        <f t="shared" si="127"/>
        <v>30088</v>
      </c>
      <c r="Z497" s="88">
        <f t="shared" si="128"/>
        <v>30088</v>
      </c>
      <c r="AE497" s="10"/>
      <c r="AN497" s="3"/>
      <c r="AO497" s="16"/>
      <c r="AP497" s="16"/>
      <c r="AQ497" s="16"/>
      <c r="AR497" s="16"/>
      <c r="AS497" s="16"/>
      <c r="AT497" s="16"/>
      <c r="AU497" s="16"/>
    </row>
    <row r="498" spans="1:47" ht="40.5" customHeight="1">
      <c r="A498" s="868" t="s">
        <v>179</v>
      </c>
      <c r="B498" s="893"/>
      <c r="C498" s="894"/>
      <c r="D498" s="894"/>
      <c r="E498" s="894"/>
      <c r="F498" s="894"/>
      <c r="G498" s="894"/>
      <c r="H498" s="895"/>
      <c r="I498" s="850"/>
      <c r="J498" s="429">
        <v>23519.2</v>
      </c>
      <c r="K498" s="467">
        <v>10586.121902</v>
      </c>
      <c r="L498" s="468">
        <v>211</v>
      </c>
      <c r="M498" s="879" t="s">
        <v>342</v>
      </c>
      <c r="N498" s="655">
        <v>1</v>
      </c>
      <c r="O498" s="491">
        <v>726</v>
      </c>
      <c r="P498" s="469">
        <f>ROUND(N498*O498*12,0)</f>
        <v>8712</v>
      </c>
      <c r="Q498" s="469">
        <v>8712</v>
      </c>
      <c r="R498" s="492">
        <v>8712</v>
      </c>
      <c r="S498" s="470">
        <v>8712</v>
      </c>
      <c r="T498" s="46">
        <v>8712</v>
      </c>
      <c r="U498" s="47">
        <v>8712</v>
      </c>
      <c r="V498" s="119">
        <f t="shared" si="125"/>
        <v>8712</v>
      </c>
      <c r="W498" s="47">
        <v>4654</v>
      </c>
      <c r="X498" s="88">
        <f t="shared" si="126"/>
        <v>4654</v>
      </c>
      <c r="Y498" s="88">
        <f t="shared" si="127"/>
        <v>4654</v>
      </c>
      <c r="Z498" s="88">
        <f t="shared" si="128"/>
        <v>4654</v>
      </c>
      <c r="AE498" s="10"/>
      <c r="AN498" s="3"/>
      <c r="AO498" s="16"/>
      <c r="AP498" s="16"/>
      <c r="AQ498" s="16"/>
      <c r="AR498" s="16"/>
      <c r="AS498" s="16"/>
      <c r="AT498" s="16"/>
      <c r="AU498" s="16"/>
    </row>
    <row r="499" spans="1:47" ht="64.5" customHeight="1">
      <c r="A499" s="868"/>
      <c r="B499" s="893"/>
      <c r="C499" s="894"/>
      <c r="D499" s="894"/>
      <c r="E499" s="894"/>
      <c r="F499" s="894"/>
      <c r="G499" s="894"/>
      <c r="H499" s="895"/>
      <c r="I499" s="850"/>
      <c r="J499" s="429">
        <v>7102.8</v>
      </c>
      <c r="K499" s="467">
        <v>3197.4</v>
      </c>
      <c r="L499" s="468">
        <v>213</v>
      </c>
      <c r="M499" s="858"/>
      <c r="N499" s="648">
        <v>0.302</v>
      </c>
      <c r="O499" s="491"/>
      <c r="P499" s="469">
        <f>ROUND(P498*N499,0)</f>
        <v>2631</v>
      </c>
      <c r="Q499" s="469">
        <v>2631</v>
      </c>
      <c r="R499" s="492">
        <v>2631</v>
      </c>
      <c r="S499" s="470">
        <v>2631</v>
      </c>
      <c r="T499" s="46">
        <v>2631</v>
      </c>
      <c r="U499" s="47">
        <v>2631</v>
      </c>
      <c r="V499" s="119">
        <f t="shared" si="125"/>
        <v>2631</v>
      </c>
      <c r="W499" s="47">
        <v>1405</v>
      </c>
      <c r="X499" s="88">
        <f t="shared" si="126"/>
        <v>1405</v>
      </c>
      <c r="Y499" s="88">
        <f t="shared" si="127"/>
        <v>1405</v>
      </c>
      <c r="Z499" s="88">
        <f t="shared" si="128"/>
        <v>1405</v>
      </c>
      <c r="AE499" s="10"/>
      <c r="AN499" s="3"/>
      <c r="AO499" s="16"/>
      <c r="AP499" s="16"/>
      <c r="AQ499" s="16"/>
      <c r="AR499" s="16"/>
      <c r="AS499" s="16"/>
      <c r="AT499" s="16"/>
      <c r="AU499" s="16"/>
    </row>
    <row r="500" spans="1:47" ht="46.5" customHeight="1">
      <c r="A500" s="859" t="s">
        <v>180</v>
      </c>
      <c r="B500" s="893"/>
      <c r="C500" s="894"/>
      <c r="D500" s="894"/>
      <c r="E500" s="894"/>
      <c r="F500" s="894"/>
      <c r="G500" s="894"/>
      <c r="H500" s="895"/>
      <c r="I500" s="850"/>
      <c r="J500" s="429">
        <v>20570</v>
      </c>
      <c r="K500" s="477">
        <v>19135.7032812</v>
      </c>
      <c r="L500" s="468">
        <v>211</v>
      </c>
      <c r="M500" s="852" t="s">
        <v>340</v>
      </c>
      <c r="N500" s="649">
        <v>2.5</v>
      </c>
      <c r="O500" s="434">
        <v>1452</v>
      </c>
      <c r="P500" s="469">
        <f>ROUND(N500*O500*12,0)</f>
        <v>43560</v>
      </c>
      <c r="Q500" s="470">
        <v>43560</v>
      </c>
      <c r="R500" s="470">
        <v>43560</v>
      </c>
      <c r="S500" s="470">
        <v>43560</v>
      </c>
      <c r="T500" s="467">
        <v>43560</v>
      </c>
      <c r="U500" s="119">
        <v>43560</v>
      </c>
      <c r="V500" s="119">
        <f t="shared" si="125"/>
        <v>43560</v>
      </c>
      <c r="W500" s="47">
        <v>23270</v>
      </c>
      <c r="X500" s="88">
        <f t="shared" si="126"/>
        <v>23270</v>
      </c>
      <c r="Y500" s="88">
        <f t="shared" si="127"/>
        <v>23270</v>
      </c>
      <c r="Z500" s="88">
        <f t="shared" si="128"/>
        <v>23270</v>
      </c>
      <c r="AE500" s="10"/>
      <c r="AN500" s="3"/>
      <c r="AO500" s="16"/>
      <c r="AP500" s="16"/>
      <c r="AQ500" s="16"/>
      <c r="AR500" s="16"/>
      <c r="AS500" s="16"/>
      <c r="AT500" s="16"/>
      <c r="AU500" s="16"/>
    </row>
    <row r="501" spans="1:47" ht="78.75" customHeight="1">
      <c r="A501" s="859"/>
      <c r="B501" s="893"/>
      <c r="C501" s="894"/>
      <c r="D501" s="894"/>
      <c r="E501" s="894"/>
      <c r="F501" s="894"/>
      <c r="G501" s="894"/>
      <c r="H501" s="895"/>
      <c r="I501" s="850"/>
      <c r="J501" s="429">
        <v>6659</v>
      </c>
      <c r="K501" s="477">
        <v>6224.105420400001</v>
      </c>
      <c r="L501" s="468">
        <v>213</v>
      </c>
      <c r="M501" s="880"/>
      <c r="N501" s="648">
        <v>0.326</v>
      </c>
      <c r="O501" s="434"/>
      <c r="P501" s="469">
        <f>ROUND(P500*N501,0)</f>
        <v>14201</v>
      </c>
      <c r="Q501" s="470">
        <v>14201</v>
      </c>
      <c r="R501" s="470">
        <v>14201</v>
      </c>
      <c r="S501" s="470">
        <v>14201</v>
      </c>
      <c r="T501" s="467">
        <v>14201</v>
      </c>
      <c r="U501" s="119">
        <v>14201</v>
      </c>
      <c r="V501" s="119">
        <f t="shared" si="125"/>
        <v>14201</v>
      </c>
      <c r="W501" s="47">
        <v>7586</v>
      </c>
      <c r="X501" s="88">
        <f t="shared" si="126"/>
        <v>7586</v>
      </c>
      <c r="Y501" s="88">
        <f t="shared" si="127"/>
        <v>7586</v>
      </c>
      <c r="Z501" s="88">
        <f t="shared" si="128"/>
        <v>7586</v>
      </c>
      <c r="AE501" s="10"/>
      <c r="AN501" s="3"/>
      <c r="AO501" s="16"/>
      <c r="AP501" s="16"/>
      <c r="AQ501" s="16"/>
      <c r="AR501" s="16"/>
      <c r="AS501" s="16"/>
      <c r="AT501" s="16"/>
      <c r="AU501" s="16"/>
    </row>
    <row r="502" spans="1:47" ht="29.25" customHeight="1">
      <c r="A502" s="876" t="s">
        <v>181</v>
      </c>
      <c r="B502" s="893"/>
      <c r="C502" s="894"/>
      <c r="D502" s="894"/>
      <c r="E502" s="894"/>
      <c r="F502" s="894"/>
      <c r="G502" s="894"/>
      <c r="H502" s="895"/>
      <c r="I502" s="850"/>
      <c r="J502" s="429">
        <v>26320</v>
      </c>
      <c r="K502" s="467">
        <v>15822.985819300004</v>
      </c>
      <c r="L502" s="493">
        <v>211</v>
      </c>
      <c r="M502" s="877" t="s">
        <v>338</v>
      </c>
      <c r="N502" s="656">
        <v>2</v>
      </c>
      <c r="O502" s="494">
        <v>1452</v>
      </c>
      <c r="P502" s="469">
        <f>ROUND(N502*O502*12,0)</f>
        <v>34848</v>
      </c>
      <c r="Q502" s="475">
        <v>34848</v>
      </c>
      <c r="R502" s="475">
        <v>34848</v>
      </c>
      <c r="S502" s="475">
        <v>34848</v>
      </c>
      <c r="T502" s="476">
        <v>34848</v>
      </c>
      <c r="U502" s="88">
        <v>34848</v>
      </c>
      <c r="V502" s="119">
        <f t="shared" si="125"/>
        <v>34848</v>
      </c>
      <c r="W502" s="47">
        <v>18616</v>
      </c>
      <c r="X502" s="88">
        <f t="shared" si="126"/>
        <v>18616</v>
      </c>
      <c r="Y502" s="88">
        <f t="shared" si="127"/>
        <v>18616</v>
      </c>
      <c r="Z502" s="88">
        <f t="shared" si="128"/>
        <v>18616</v>
      </c>
      <c r="AE502" s="10"/>
      <c r="AN502" s="3"/>
      <c r="AO502" s="16"/>
      <c r="AP502" s="16"/>
      <c r="AQ502" s="16"/>
      <c r="AR502" s="16"/>
      <c r="AS502" s="16"/>
      <c r="AT502" s="16"/>
      <c r="AU502" s="16"/>
    </row>
    <row r="503" spans="1:47" ht="71.25" customHeight="1">
      <c r="A503" s="876"/>
      <c r="B503" s="893"/>
      <c r="C503" s="894"/>
      <c r="D503" s="894"/>
      <c r="E503" s="894"/>
      <c r="F503" s="894"/>
      <c r="G503" s="894"/>
      <c r="H503" s="895"/>
      <c r="I503" s="850"/>
      <c r="J503" s="429">
        <v>7547.5</v>
      </c>
      <c r="K503" s="467">
        <v>4778.5468964599995</v>
      </c>
      <c r="L503" s="493">
        <v>213</v>
      </c>
      <c r="M503" s="877"/>
      <c r="N503" s="648">
        <v>0.302</v>
      </c>
      <c r="O503" s="494"/>
      <c r="P503" s="469">
        <f>ROUND(P502*N503,0)</f>
        <v>10524</v>
      </c>
      <c r="Q503" s="475">
        <v>10524</v>
      </c>
      <c r="R503" s="475">
        <v>10524</v>
      </c>
      <c r="S503" s="475">
        <v>10524</v>
      </c>
      <c r="T503" s="476">
        <v>10524</v>
      </c>
      <c r="U503" s="88">
        <v>10524</v>
      </c>
      <c r="V503" s="119">
        <f t="shared" si="125"/>
        <v>10524</v>
      </c>
      <c r="W503" s="47">
        <v>5622</v>
      </c>
      <c r="X503" s="88">
        <f t="shared" si="126"/>
        <v>5622</v>
      </c>
      <c r="Y503" s="88">
        <f t="shared" si="127"/>
        <v>5622</v>
      </c>
      <c r="Z503" s="88">
        <f t="shared" si="128"/>
        <v>5622</v>
      </c>
      <c r="AE503" s="10"/>
      <c r="AN503" s="3"/>
      <c r="AO503" s="16"/>
      <c r="AP503" s="16"/>
      <c r="AQ503" s="16"/>
      <c r="AR503" s="16"/>
      <c r="AS503" s="16"/>
      <c r="AT503" s="16"/>
      <c r="AU503" s="16"/>
    </row>
    <row r="504" spans="1:47" ht="26.25" customHeight="1">
      <c r="A504" s="859" t="s">
        <v>182</v>
      </c>
      <c r="B504" s="893"/>
      <c r="C504" s="894"/>
      <c r="D504" s="894"/>
      <c r="E504" s="894"/>
      <c r="F504" s="894"/>
      <c r="G504" s="894"/>
      <c r="H504" s="895"/>
      <c r="I504" s="850"/>
      <c r="J504" s="429">
        <v>14277.04</v>
      </c>
      <c r="K504" s="467">
        <v>16021.26</v>
      </c>
      <c r="L504" s="468">
        <v>211</v>
      </c>
      <c r="M504" s="870" t="s">
        <v>341</v>
      </c>
      <c r="N504" s="638">
        <v>1</v>
      </c>
      <c r="O504" s="434">
        <v>1692</v>
      </c>
      <c r="P504" s="469">
        <f>ROUND(N504*O504*12,0)</f>
        <v>20304</v>
      </c>
      <c r="Q504" s="479">
        <v>20304</v>
      </c>
      <c r="R504" s="479">
        <v>20304</v>
      </c>
      <c r="S504" s="479">
        <v>20304</v>
      </c>
      <c r="T504" s="480">
        <v>20304</v>
      </c>
      <c r="U504" s="121">
        <v>20304</v>
      </c>
      <c r="V504" s="119">
        <f t="shared" si="125"/>
        <v>20304</v>
      </c>
      <c r="W504" s="47">
        <v>10846</v>
      </c>
      <c r="X504" s="88">
        <f t="shared" si="126"/>
        <v>10846</v>
      </c>
      <c r="Y504" s="88">
        <f t="shared" si="127"/>
        <v>10846</v>
      </c>
      <c r="Z504" s="88">
        <f t="shared" si="128"/>
        <v>10846</v>
      </c>
      <c r="AE504" s="10"/>
      <c r="AN504" s="3"/>
      <c r="AO504" s="16"/>
      <c r="AP504" s="16"/>
      <c r="AQ504" s="16"/>
      <c r="AR504" s="16"/>
      <c r="AS504" s="16"/>
      <c r="AT504" s="16"/>
      <c r="AU504" s="16"/>
    </row>
    <row r="505" spans="1:47" ht="58.5" customHeight="1">
      <c r="A505" s="859"/>
      <c r="B505" s="893"/>
      <c r="C505" s="894"/>
      <c r="D505" s="894"/>
      <c r="E505" s="894"/>
      <c r="F505" s="894"/>
      <c r="G505" s="894"/>
      <c r="H505" s="895"/>
      <c r="I505" s="850"/>
      <c r="J505" s="429">
        <v>4311.17</v>
      </c>
      <c r="K505" s="467">
        <v>4838.42</v>
      </c>
      <c r="L505" s="468">
        <v>213</v>
      </c>
      <c r="M505" s="870"/>
      <c r="N505" s="648">
        <v>0.302</v>
      </c>
      <c r="O505" s="434"/>
      <c r="P505" s="469">
        <f>ROUND(P504*N505,0)</f>
        <v>6132</v>
      </c>
      <c r="Q505" s="479">
        <v>6132</v>
      </c>
      <c r="R505" s="479">
        <v>6132</v>
      </c>
      <c r="S505" s="479">
        <v>6132</v>
      </c>
      <c r="T505" s="480">
        <v>6132</v>
      </c>
      <c r="U505" s="121">
        <v>6132</v>
      </c>
      <c r="V505" s="119">
        <f t="shared" si="125"/>
        <v>6132</v>
      </c>
      <c r="W505" s="88">
        <v>3276</v>
      </c>
      <c r="X505" s="88">
        <f t="shared" si="126"/>
        <v>3276</v>
      </c>
      <c r="Y505" s="88">
        <f t="shared" si="127"/>
        <v>3276</v>
      </c>
      <c r="Z505" s="88">
        <f t="shared" si="128"/>
        <v>3276</v>
      </c>
      <c r="AE505" s="10"/>
      <c r="AN505" s="3"/>
      <c r="AO505" s="16"/>
      <c r="AP505" s="16"/>
      <c r="AQ505" s="16"/>
      <c r="AR505" s="16"/>
      <c r="AS505" s="16"/>
      <c r="AT505" s="16"/>
      <c r="AU505" s="16"/>
    </row>
    <row r="506" spans="1:47" ht="26.25" customHeight="1">
      <c r="A506" s="859" t="s">
        <v>183</v>
      </c>
      <c r="B506" s="893"/>
      <c r="C506" s="894"/>
      <c r="D506" s="894"/>
      <c r="E506" s="894"/>
      <c r="F506" s="894"/>
      <c r="G506" s="894"/>
      <c r="H506" s="895"/>
      <c r="I506" s="850"/>
      <c r="J506" s="429">
        <v>17178</v>
      </c>
      <c r="K506" s="467">
        <v>7416.3729648</v>
      </c>
      <c r="L506" s="468">
        <v>211</v>
      </c>
      <c r="M506" s="870" t="s">
        <v>339</v>
      </c>
      <c r="N506" s="638">
        <v>1</v>
      </c>
      <c r="O506" s="434">
        <v>1452</v>
      </c>
      <c r="P506" s="469">
        <f>ROUND(N506*O506*12,0)</f>
        <v>17424</v>
      </c>
      <c r="Q506" s="475">
        <v>17424</v>
      </c>
      <c r="R506" s="478">
        <v>17424</v>
      </c>
      <c r="S506" s="479">
        <v>17424</v>
      </c>
      <c r="T506" s="476">
        <v>17424</v>
      </c>
      <c r="U506" s="88">
        <v>17424</v>
      </c>
      <c r="V506" s="119">
        <f t="shared" si="125"/>
        <v>17424</v>
      </c>
      <c r="W506" s="88">
        <v>9308</v>
      </c>
      <c r="X506" s="88">
        <f t="shared" si="126"/>
        <v>9308</v>
      </c>
      <c r="Y506" s="88">
        <f t="shared" si="127"/>
        <v>9308</v>
      </c>
      <c r="Z506" s="88">
        <f t="shared" si="128"/>
        <v>9308</v>
      </c>
      <c r="AE506" s="10"/>
      <c r="AN506" s="3"/>
      <c r="AO506" s="16"/>
      <c r="AP506" s="16"/>
      <c r="AQ506" s="16"/>
      <c r="AR506" s="16"/>
      <c r="AS506" s="16"/>
      <c r="AT506" s="16"/>
      <c r="AU506" s="16"/>
    </row>
    <row r="507" spans="1:47" ht="65.25" customHeight="1">
      <c r="A507" s="859"/>
      <c r="B507" s="893"/>
      <c r="C507" s="894"/>
      <c r="D507" s="894"/>
      <c r="E507" s="894"/>
      <c r="F507" s="894"/>
      <c r="G507" s="894"/>
      <c r="H507" s="895"/>
      <c r="I507" s="850"/>
      <c r="J507" s="429">
        <v>8023</v>
      </c>
      <c r="K507" s="467">
        <v>2907.2182022016</v>
      </c>
      <c r="L507" s="468">
        <v>213</v>
      </c>
      <c r="M507" s="870"/>
      <c r="N507" s="648">
        <v>0.392</v>
      </c>
      <c r="O507" s="434"/>
      <c r="P507" s="469">
        <f>ROUND(P506*N507,0)</f>
        <v>6830</v>
      </c>
      <c r="Q507" s="475">
        <v>6830</v>
      </c>
      <c r="R507" s="478">
        <v>6830</v>
      </c>
      <c r="S507" s="479">
        <v>6830</v>
      </c>
      <c r="T507" s="476">
        <v>6830</v>
      </c>
      <c r="U507" s="88">
        <v>6830</v>
      </c>
      <c r="V507" s="119">
        <f t="shared" si="125"/>
        <v>6830</v>
      </c>
      <c r="W507" s="88">
        <v>3649</v>
      </c>
      <c r="X507" s="88">
        <f t="shared" si="126"/>
        <v>3649</v>
      </c>
      <c r="Y507" s="88">
        <f t="shared" si="127"/>
        <v>3649</v>
      </c>
      <c r="Z507" s="88">
        <f t="shared" si="128"/>
        <v>3649</v>
      </c>
      <c r="AE507" s="10"/>
      <c r="AN507" s="3"/>
      <c r="AO507" s="16"/>
      <c r="AP507" s="16"/>
      <c r="AQ507" s="16"/>
      <c r="AR507" s="16"/>
      <c r="AS507" s="16"/>
      <c r="AT507" s="16"/>
      <c r="AU507" s="16"/>
    </row>
    <row r="508" spans="1:47" ht="198.75" customHeight="1">
      <c r="A508" s="859" t="s">
        <v>184</v>
      </c>
      <c r="B508" s="893"/>
      <c r="C508" s="894"/>
      <c r="D508" s="894"/>
      <c r="E508" s="894"/>
      <c r="F508" s="894"/>
      <c r="G508" s="894"/>
      <c r="H508" s="895"/>
      <c r="I508" s="850"/>
      <c r="J508" s="480">
        <v>771627.02</v>
      </c>
      <c r="K508" s="477">
        <v>659891.2856860855</v>
      </c>
      <c r="L508" s="468">
        <v>211</v>
      </c>
      <c r="M508" s="873" t="s">
        <v>337</v>
      </c>
      <c r="N508" s="657">
        <v>76</v>
      </c>
      <c r="O508" s="445">
        <v>1616.2105263157894</v>
      </c>
      <c r="P508" s="469">
        <f>ROUND(N508*O508*12,0)</f>
        <v>1473984</v>
      </c>
      <c r="Q508" s="496">
        <v>1473984</v>
      </c>
      <c r="R508" s="460">
        <v>1532280</v>
      </c>
      <c r="S508" s="496">
        <v>1598082</v>
      </c>
      <c r="T508" s="477">
        <v>1473984</v>
      </c>
      <c r="U508" s="124">
        <v>1473984</v>
      </c>
      <c r="V508" s="119">
        <f t="shared" si="125"/>
        <v>1473984</v>
      </c>
      <c r="W508" s="88">
        <v>787402</v>
      </c>
      <c r="X508" s="88">
        <f t="shared" si="126"/>
        <v>787402</v>
      </c>
      <c r="Y508" s="88">
        <f t="shared" si="127"/>
        <v>787402</v>
      </c>
      <c r="Z508" s="88">
        <f t="shared" si="128"/>
        <v>787402</v>
      </c>
      <c r="AE508" s="10"/>
      <c r="AN508" s="3"/>
      <c r="AO508" s="16"/>
      <c r="AP508" s="16"/>
      <c r="AQ508" s="16"/>
      <c r="AR508" s="16"/>
      <c r="AS508" s="16"/>
      <c r="AT508" s="16"/>
      <c r="AU508" s="16"/>
    </row>
    <row r="509" spans="1:47" ht="237.75" customHeight="1">
      <c r="A509" s="859"/>
      <c r="B509" s="893"/>
      <c r="C509" s="894"/>
      <c r="D509" s="894"/>
      <c r="E509" s="894"/>
      <c r="F509" s="894"/>
      <c r="G509" s="894"/>
      <c r="H509" s="895"/>
      <c r="I509" s="850"/>
      <c r="J509" s="480">
        <v>238813.62</v>
      </c>
      <c r="K509" s="477">
        <v>204830.69</v>
      </c>
      <c r="L509" s="468">
        <v>213</v>
      </c>
      <c r="M509" s="858"/>
      <c r="N509" s="648">
        <v>0.31</v>
      </c>
      <c r="O509" s="445"/>
      <c r="P509" s="469">
        <f>ROUND(P508*N509,0)</f>
        <v>456935</v>
      </c>
      <c r="Q509" s="470">
        <v>456935.04</v>
      </c>
      <c r="R509" s="470">
        <f>ROUND(R508*N509,0)</f>
        <v>475007</v>
      </c>
      <c r="S509" s="479">
        <f>ROUND(S508*N509,0)</f>
        <v>495405</v>
      </c>
      <c r="T509" s="467">
        <v>456935</v>
      </c>
      <c r="U509" s="119">
        <v>456935</v>
      </c>
      <c r="V509" s="119">
        <f t="shared" si="125"/>
        <v>456935</v>
      </c>
      <c r="W509" s="88">
        <v>244095</v>
      </c>
      <c r="X509" s="88">
        <f t="shared" si="126"/>
        <v>244095</v>
      </c>
      <c r="Y509" s="88">
        <f t="shared" si="127"/>
        <v>244095</v>
      </c>
      <c r="Z509" s="88">
        <f t="shared" si="128"/>
        <v>244095</v>
      </c>
      <c r="AE509" s="10"/>
      <c r="AN509" s="3"/>
      <c r="AO509" s="16"/>
      <c r="AP509" s="16"/>
      <c r="AQ509" s="16"/>
      <c r="AR509" s="16"/>
      <c r="AS509" s="16"/>
      <c r="AT509" s="16"/>
      <c r="AU509" s="16"/>
    </row>
    <row r="510" spans="1:47" ht="130.5" customHeight="1">
      <c r="A510" s="874" t="s">
        <v>185</v>
      </c>
      <c r="B510" s="893"/>
      <c r="C510" s="894"/>
      <c r="D510" s="894"/>
      <c r="E510" s="894"/>
      <c r="F510" s="894"/>
      <c r="G510" s="894"/>
      <c r="H510" s="895"/>
      <c r="I510" s="850"/>
      <c r="J510" s="467">
        <v>328793</v>
      </c>
      <c r="K510" s="467">
        <v>480774.93647400005</v>
      </c>
      <c r="L510" s="468">
        <v>211</v>
      </c>
      <c r="M510" s="875" t="s">
        <v>333</v>
      </c>
      <c r="N510" s="653">
        <v>46</v>
      </c>
      <c r="O510" s="467">
        <v>1572</v>
      </c>
      <c r="P510" s="469">
        <f>ROUND(N510*O510*12,0)</f>
        <v>867744</v>
      </c>
      <c r="Q510" s="470">
        <v>867744</v>
      </c>
      <c r="R510" s="470">
        <v>867744</v>
      </c>
      <c r="S510" s="470">
        <v>867744</v>
      </c>
      <c r="T510" s="467">
        <v>867744</v>
      </c>
      <c r="U510" s="119">
        <v>867744</v>
      </c>
      <c r="V510" s="119">
        <f t="shared" si="125"/>
        <v>867744</v>
      </c>
      <c r="W510" s="88">
        <v>463549</v>
      </c>
      <c r="X510" s="88">
        <f t="shared" si="126"/>
        <v>463549</v>
      </c>
      <c r="Y510" s="88">
        <f t="shared" si="127"/>
        <v>463549</v>
      </c>
      <c r="Z510" s="88">
        <f t="shared" si="128"/>
        <v>463549</v>
      </c>
      <c r="AE510" s="10"/>
      <c r="AN510" s="3"/>
      <c r="AO510" s="16"/>
      <c r="AP510" s="16"/>
      <c r="AQ510" s="16"/>
      <c r="AR510" s="16"/>
      <c r="AS510" s="16"/>
      <c r="AT510" s="16"/>
      <c r="AU510" s="16"/>
    </row>
    <row r="511" spans="1:47" ht="92.25" customHeight="1">
      <c r="A511" s="852"/>
      <c r="B511" s="893"/>
      <c r="C511" s="894"/>
      <c r="D511" s="894"/>
      <c r="E511" s="894"/>
      <c r="F511" s="894"/>
      <c r="G511" s="894"/>
      <c r="H511" s="895"/>
      <c r="I511" s="850"/>
      <c r="J511" s="467">
        <v>104067</v>
      </c>
      <c r="K511" s="467">
        <v>145194.030815148</v>
      </c>
      <c r="L511" s="468">
        <v>213</v>
      </c>
      <c r="M511" s="858"/>
      <c r="N511" s="648">
        <v>0.302</v>
      </c>
      <c r="O511" s="467"/>
      <c r="P511" s="469">
        <f>ROUND(P510*N511,0)</f>
        <v>262059</v>
      </c>
      <c r="Q511" s="479">
        <v>262059</v>
      </c>
      <c r="R511" s="479">
        <v>262059</v>
      </c>
      <c r="S511" s="479">
        <v>262059</v>
      </c>
      <c r="T511" s="480">
        <v>262059</v>
      </c>
      <c r="U511" s="121">
        <v>262059</v>
      </c>
      <c r="V511" s="119">
        <f t="shared" si="125"/>
        <v>262059</v>
      </c>
      <c r="W511" s="88">
        <v>139992</v>
      </c>
      <c r="X511" s="88">
        <f t="shared" si="126"/>
        <v>139992</v>
      </c>
      <c r="Y511" s="88">
        <f t="shared" si="127"/>
        <v>139992</v>
      </c>
      <c r="Z511" s="88">
        <f t="shared" si="128"/>
        <v>139992</v>
      </c>
      <c r="AE511" s="10"/>
      <c r="AN511" s="3"/>
      <c r="AO511" s="16"/>
      <c r="AP511" s="16"/>
      <c r="AQ511" s="16"/>
      <c r="AR511" s="16"/>
      <c r="AS511" s="16"/>
      <c r="AT511" s="16"/>
      <c r="AU511" s="16"/>
    </row>
    <row r="512" spans="1:47" ht="46.5" customHeight="1">
      <c r="A512" s="852"/>
      <c r="B512" s="893"/>
      <c r="C512" s="894"/>
      <c r="D512" s="894"/>
      <c r="E512" s="894"/>
      <c r="F512" s="894"/>
      <c r="G512" s="894"/>
      <c r="H512" s="895"/>
      <c r="I512" s="850"/>
      <c r="J512" s="467">
        <v>176773</v>
      </c>
      <c r="K512" s="467">
        <v>304842.04954738</v>
      </c>
      <c r="L512" s="468">
        <v>211</v>
      </c>
      <c r="M512" s="875" t="s">
        <v>336</v>
      </c>
      <c r="N512" s="653">
        <v>30</v>
      </c>
      <c r="O512" s="467">
        <v>1636</v>
      </c>
      <c r="P512" s="469">
        <f>ROUND(N512*O512*12,0)</f>
        <v>588960</v>
      </c>
      <c r="Q512" s="479">
        <v>588960</v>
      </c>
      <c r="R512" s="479">
        <v>588960</v>
      </c>
      <c r="S512" s="479">
        <v>588960</v>
      </c>
      <c r="T512" s="480">
        <v>588960</v>
      </c>
      <c r="U512" s="121">
        <v>588960</v>
      </c>
      <c r="V512" s="119">
        <f t="shared" si="125"/>
        <v>588960</v>
      </c>
      <c r="W512" s="88">
        <v>314622</v>
      </c>
      <c r="X512" s="88">
        <f t="shared" si="126"/>
        <v>314622</v>
      </c>
      <c r="Y512" s="88">
        <f t="shared" si="127"/>
        <v>314622</v>
      </c>
      <c r="Z512" s="88">
        <f t="shared" si="128"/>
        <v>314622</v>
      </c>
      <c r="AE512" s="10"/>
      <c r="AN512" s="3"/>
      <c r="AO512" s="16"/>
      <c r="AP512" s="16"/>
      <c r="AQ512" s="16"/>
      <c r="AR512" s="16"/>
      <c r="AS512" s="16"/>
      <c r="AT512" s="16"/>
      <c r="AU512" s="16"/>
    </row>
    <row r="513" spans="1:47" ht="82.5" customHeight="1">
      <c r="A513" s="852"/>
      <c r="B513" s="893"/>
      <c r="C513" s="894"/>
      <c r="D513" s="894"/>
      <c r="E513" s="894"/>
      <c r="F513" s="894"/>
      <c r="G513" s="894"/>
      <c r="H513" s="895"/>
      <c r="I513" s="850"/>
      <c r="J513" s="467">
        <v>56411</v>
      </c>
      <c r="K513" s="467">
        <v>92062.29896330876</v>
      </c>
      <c r="L513" s="468">
        <v>213</v>
      </c>
      <c r="M513" s="858"/>
      <c r="N513" s="648">
        <v>0.302</v>
      </c>
      <c r="O513" s="467"/>
      <c r="P513" s="469">
        <f>ROUND(P512*N513,0)</f>
        <v>177866</v>
      </c>
      <c r="Q513" s="479">
        <v>177866</v>
      </c>
      <c r="R513" s="479">
        <v>177866</v>
      </c>
      <c r="S513" s="479">
        <v>177866</v>
      </c>
      <c r="T513" s="480">
        <v>177866</v>
      </c>
      <c r="U513" s="121">
        <v>177866</v>
      </c>
      <c r="V513" s="119">
        <f t="shared" si="125"/>
        <v>177866</v>
      </c>
      <c r="W513" s="88">
        <v>95016</v>
      </c>
      <c r="X513" s="88">
        <f t="shared" si="126"/>
        <v>95016</v>
      </c>
      <c r="Y513" s="88">
        <f t="shared" si="127"/>
        <v>95016</v>
      </c>
      <c r="Z513" s="88">
        <f t="shared" si="128"/>
        <v>95016</v>
      </c>
      <c r="AE513" s="10"/>
      <c r="AN513" s="3"/>
      <c r="AO513" s="16"/>
      <c r="AP513" s="16"/>
      <c r="AQ513" s="16"/>
      <c r="AR513" s="16"/>
      <c r="AS513" s="16"/>
      <c r="AT513" s="16"/>
      <c r="AU513" s="16"/>
    </row>
    <row r="514" spans="1:47" ht="45" customHeight="1">
      <c r="A514" s="859" t="s">
        <v>186</v>
      </c>
      <c r="B514" s="893"/>
      <c r="C514" s="894"/>
      <c r="D514" s="894"/>
      <c r="E514" s="894"/>
      <c r="F514" s="894"/>
      <c r="G514" s="894"/>
      <c r="H514" s="895"/>
      <c r="I514" s="850"/>
      <c r="J514" s="429">
        <v>27463.24</v>
      </c>
      <c r="K514" s="467">
        <v>24103.212135600006</v>
      </c>
      <c r="L514" s="468">
        <v>211</v>
      </c>
      <c r="M514" s="870" t="s">
        <v>344</v>
      </c>
      <c r="N514" s="649">
        <v>3</v>
      </c>
      <c r="O514" s="434">
        <v>1452</v>
      </c>
      <c r="P514" s="469">
        <f>ROUND(N514*O514*12,0)</f>
        <v>52272</v>
      </c>
      <c r="Q514" s="470">
        <v>52272</v>
      </c>
      <c r="R514" s="470">
        <v>52272</v>
      </c>
      <c r="S514" s="470">
        <v>52272</v>
      </c>
      <c r="T514" s="467">
        <v>52272</v>
      </c>
      <c r="U514" s="119">
        <v>52272</v>
      </c>
      <c r="V514" s="119">
        <f t="shared" si="125"/>
        <v>52272</v>
      </c>
      <c r="W514" s="88">
        <v>27924</v>
      </c>
      <c r="X514" s="88">
        <f t="shared" si="126"/>
        <v>27924</v>
      </c>
      <c r="Y514" s="88">
        <f t="shared" si="127"/>
        <v>27924</v>
      </c>
      <c r="Z514" s="88">
        <f t="shared" si="128"/>
        <v>27924</v>
      </c>
      <c r="AE514" s="10"/>
      <c r="AN514" s="3"/>
      <c r="AO514" s="16"/>
      <c r="AP514" s="16"/>
      <c r="AQ514" s="16"/>
      <c r="AR514" s="16"/>
      <c r="AS514" s="16"/>
      <c r="AT514" s="16"/>
      <c r="AU514" s="16"/>
    </row>
    <row r="515" spans="1:47" ht="64.5" customHeight="1">
      <c r="A515" s="859"/>
      <c r="B515" s="893"/>
      <c r="C515" s="894"/>
      <c r="D515" s="894"/>
      <c r="E515" s="894"/>
      <c r="F515" s="894"/>
      <c r="G515" s="894"/>
      <c r="H515" s="895"/>
      <c r="I515" s="850"/>
      <c r="J515" s="429">
        <v>8293.9</v>
      </c>
      <c r="K515" s="467">
        <v>7278.82</v>
      </c>
      <c r="L515" s="468">
        <v>213</v>
      </c>
      <c r="M515" s="870"/>
      <c r="N515" s="648">
        <v>0.302</v>
      </c>
      <c r="O515" s="434"/>
      <c r="P515" s="469">
        <f>ROUND(P514*N515,0)</f>
        <v>15786</v>
      </c>
      <c r="Q515" s="470">
        <v>15786</v>
      </c>
      <c r="R515" s="470">
        <v>15786</v>
      </c>
      <c r="S515" s="470">
        <v>15786</v>
      </c>
      <c r="T515" s="467">
        <v>15786</v>
      </c>
      <c r="U515" s="119">
        <v>15786</v>
      </c>
      <c r="V515" s="119">
        <f t="shared" si="125"/>
        <v>15786</v>
      </c>
      <c r="W515" s="88">
        <v>8433</v>
      </c>
      <c r="X515" s="88">
        <f t="shared" si="126"/>
        <v>8433</v>
      </c>
      <c r="Y515" s="88">
        <f t="shared" si="127"/>
        <v>8433</v>
      </c>
      <c r="Z515" s="88">
        <f t="shared" si="128"/>
        <v>8433</v>
      </c>
      <c r="AE515" s="10"/>
      <c r="AN515" s="3"/>
      <c r="AO515" s="16"/>
      <c r="AP515" s="16"/>
      <c r="AQ515" s="16"/>
      <c r="AR515" s="16"/>
      <c r="AS515" s="16"/>
      <c r="AT515" s="16"/>
      <c r="AU515" s="16"/>
    </row>
    <row r="516" spans="1:47" ht="119.25" customHeight="1">
      <c r="A516" s="859" t="s">
        <v>187</v>
      </c>
      <c r="B516" s="893"/>
      <c r="C516" s="894"/>
      <c r="D516" s="894"/>
      <c r="E516" s="894"/>
      <c r="F516" s="894"/>
      <c r="G516" s="894"/>
      <c r="H516" s="895"/>
      <c r="I516" s="850"/>
      <c r="J516" s="429">
        <v>143236.26</v>
      </c>
      <c r="K516" s="477">
        <v>117190.577358</v>
      </c>
      <c r="L516" s="468">
        <v>211</v>
      </c>
      <c r="M516" s="870" t="s">
        <v>332</v>
      </c>
      <c r="N516" s="638">
        <v>15</v>
      </c>
      <c r="O516" s="497">
        <v>1548</v>
      </c>
      <c r="P516" s="469">
        <f>ROUND(N516*O516*12,0)</f>
        <v>278640</v>
      </c>
      <c r="Q516" s="487">
        <v>278640</v>
      </c>
      <c r="R516" s="487">
        <v>278640</v>
      </c>
      <c r="S516" s="487">
        <v>278640</v>
      </c>
      <c r="T516" s="489">
        <v>278640</v>
      </c>
      <c r="U516" s="123">
        <v>278640</v>
      </c>
      <c r="V516" s="119">
        <f t="shared" si="125"/>
        <v>278640</v>
      </c>
      <c r="W516" s="88">
        <v>148849</v>
      </c>
      <c r="X516" s="88">
        <f t="shared" si="126"/>
        <v>148849</v>
      </c>
      <c r="Y516" s="88">
        <f t="shared" si="127"/>
        <v>148849</v>
      </c>
      <c r="Z516" s="88">
        <f t="shared" si="128"/>
        <v>148849</v>
      </c>
      <c r="AE516" s="10"/>
      <c r="AN516" s="3"/>
      <c r="AO516" s="16"/>
      <c r="AP516" s="16"/>
      <c r="AQ516" s="16"/>
      <c r="AR516" s="16"/>
      <c r="AS516" s="16"/>
      <c r="AT516" s="16"/>
      <c r="AU516" s="16"/>
    </row>
    <row r="517" spans="1:47" ht="91.5" customHeight="1">
      <c r="A517" s="859"/>
      <c r="B517" s="893"/>
      <c r="C517" s="894"/>
      <c r="D517" s="894"/>
      <c r="E517" s="894"/>
      <c r="F517" s="894"/>
      <c r="G517" s="894"/>
      <c r="H517" s="895"/>
      <c r="I517" s="850"/>
      <c r="J517" s="429">
        <v>45164.89</v>
      </c>
      <c r="K517" s="477">
        <v>39392.71</v>
      </c>
      <c r="L517" s="468">
        <v>213</v>
      </c>
      <c r="M517" s="858"/>
      <c r="N517" s="648">
        <v>0.342</v>
      </c>
      <c r="O517" s="497"/>
      <c r="P517" s="469">
        <f>ROUND(P516*N517,0)</f>
        <v>95295</v>
      </c>
      <c r="Q517" s="487">
        <v>95295</v>
      </c>
      <c r="R517" s="487">
        <v>95295</v>
      </c>
      <c r="S517" s="487">
        <v>95295</v>
      </c>
      <c r="T517" s="489">
        <v>95295</v>
      </c>
      <c r="U517" s="123">
        <v>95295</v>
      </c>
      <c r="V517" s="119">
        <f t="shared" si="125"/>
        <v>95295</v>
      </c>
      <c r="W517" s="88">
        <v>50907</v>
      </c>
      <c r="X517" s="88">
        <f t="shared" si="126"/>
        <v>50907</v>
      </c>
      <c r="Y517" s="88">
        <f t="shared" si="127"/>
        <v>50907</v>
      </c>
      <c r="Z517" s="88">
        <f t="shared" si="128"/>
        <v>50907</v>
      </c>
      <c r="AE517" s="10"/>
      <c r="AN517" s="3"/>
      <c r="AO517" s="16"/>
      <c r="AP517" s="16"/>
      <c r="AQ517" s="16"/>
      <c r="AR517" s="16"/>
      <c r="AS517" s="16"/>
      <c r="AT517" s="16"/>
      <c r="AU517" s="16"/>
    </row>
    <row r="518" spans="1:47" ht="105" customHeight="1">
      <c r="A518" s="859" t="s">
        <v>188</v>
      </c>
      <c r="B518" s="893"/>
      <c r="C518" s="894"/>
      <c r="D518" s="894"/>
      <c r="E518" s="894"/>
      <c r="F518" s="894"/>
      <c r="G518" s="894"/>
      <c r="H518" s="895"/>
      <c r="I518" s="850"/>
      <c r="J518" s="429">
        <v>222372.25</v>
      </c>
      <c r="K518" s="477">
        <v>187221.98511</v>
      </c>
      <c r="L518" s="468">
        <v>211</v>
      </c>
      <c r="M518" s="871" t="s">
        <v>345</v>
      </c>
      <c r="N518" s="658">
        <v>20</v>
      </c>
      <c r="O518" s="477">
        <v>1596</v>
      </c>
      <c r="P518" s="469">
        <f>ROUND(N518*O518*12,0)</f>
        <v>383040</v>
      </c>
      <c r="Q518" s="496">
        <v>383040</v>
      </c>
      <c r="R518" s="496">
        <v>383040</v>
      </c>
      <c r="S518" s="496">
        <v>383040</v>
      </c>
      <c r="T518" s="477">
        <v>383040</v>
      </c>
      <c r="U518" s="124">
        <v>383040</v>
      </c>
      <c r="V518" s="119">
        <f t="shared" si="125"/>
        <v>383040</v>
      </c>
      <c r="W518" s="88">
        <v>204620</v>
      </c>
      <c r="X518" s="88">
        <f t="shared" si="126"/>
        <v>204620</v>
      </c>
      <c r="Y518" s="88">
        <f t="shared" si="127"/>
        <v>204620</v>
      </c>
      <c r="Z518" s="88">
        <f t="shared" si="128"/>
        <v>204620</v>
      </c>
      <c r="AE518" s="10"/>
      <c r="AN518" s="3"/>
      <c r="AO518" s="16"/>
      <c r="AP518" s="16"/>
      <c r="AQ518" s="16"/>
      <c r="AR518" s="16"/>
      <c r="AS518" s="16"/>
      <c r="AT518" s="16"/>
      <c r="AU518" s="16"/>
    </row>
    <row r="519" spans="1:47" ht="174.75" customHeight="1">
      <c r="A519" s="859"/>
      <c r="B519" s="893"/>
      <c r="C519" s="894"/>
      <c r="D519" s="894"/>
      <c r="E519" s="894"/>
      <c r="F519" s="894"/>
      <c r="G519" s="894"/>
      <c r="H519" s="895"/>
      <c r="I519" s="850"/>
      <c r="J519" s="467">
        <v>68413.17</v>
      </c>
      <c r="K519" s="477">
        <v>57727.72217205499</v>
      </c>
      <c r="L519" s="468">
        <v>213</v>
      </c>
      <c r="M519" s="858"/>
      <c r="N519" s="648">
        <v>0.3093</v>
      </c>
      <c r="O519" s="477"/>
      <c r="P519" s="469">
        <f>ROUND(P518*N519,0)</f>
        <v>118474</v>
      </c>
      <c r="Q519" s="496">
        <v>118474</v>
      </c>
      <c r="R519" s="496">
        <v>118474</v>
      </c>
      <c r="S519" s="496">
        <v>118474</v>
      </c>
      <c r="T519" s="477">
        <v>118474</v>
      </c>
      <c r="U519" s="124">
        <v>118474</v>
      </c>
      <c r="V519" s="119">
        <f>U519</f>
        <v>118474</v>
      </c>
      <c r="W519" s="88">
        <v>63289</v>
      </c>
      <c r="X519" s="88">
        <f>W519</f>
        <v>63289</v>
      </c>
      <c r="Y519" s="88">
        <f>W519</f>
        <v>63289</v>
      </c>
      <c r="Z519" s="88">
        <f>Y519</f>
        <v>63289</v>
      </c>
      <c r="AE519" s="10"/>
      <c r="AN519" s="3"/>
      <c r="AO519" s="16"/>
      <c r="AP519" s="16"/>
      <c r="AQ519" s="16"/>
      <c r="AR519" s="16"/>
      <c r="AS519" s="16"/>
      <c r="AT519" s="16"/>
      <c r="AU519" s="16"/>
    </row>
    <row r="520" spans="1:47" ht="36" customHeight="1">
      <c r="A520" s="859" t="s">
        <v>189</v>
      </c>
      <c r="B520" s="893"/>
      <c r="C520" s="894"/>
      <c r="D520" s="894"/>
      <c r="E520" s="894"/>
      <c r="F520" s="894"/>
      <c r="G520" s="894"/>
      <c r="H520" s="895"/>
      <c r="I520" s="850"/>
      <c r="J520" s="429">
        <v>28614.78</v>
      </c>
      <c r="K520" s="477">
        <v>39007.192462000006</v>
      </c>
      <c r="L520" s="468">
        <v>211</v>
      </c>
      <c r="M520" s="872" t="s">
        <v>335</v>
      </c>
      <c r="N520" s="639">
        <v>2</v>
      </c>
      <c r="O520" s="440">
        <v>1512</v>
      </c>
      <c r="P520" s="469">
        <f>ROUND(N520*O520*12,0)</f>
        <v>36288</v>
      </c>
      <c r="Q520" s="469">
        <v>36288</v>
      </c>
      <c r="R520" s="469">
        <v>36288</v>
      </c>
      <c r="S520" s="469">
        <v>36288</v>
      </c>
      <c r="T520" s="46">
        <v>36288</v>
      </c>
      <c r="U520" s="47">
        <v>36288</v>
      </c>
      <c r="V520" s="119">
        <f>U520</f>
        <v>36288</v>
      </c>
      <c r="W520" s="88">
        <v>19385</v>
      </c>
      <c r="X520" s="88">
        <f>W520</f>
        <v>19385</v>
      </c>
      <c r="Y520" s="88">
        <f>W520</f>
        <v>19385</v>
      </c>
      <c r="Z520" s="88">
        <f>Y520</f>
        <v>19385</v>
      </c>
      <c r="AE520" s="10"/>
      <c r="AN520" s="3"/>
      <c r="AO520" s="16"/>
      <c r="AP520" s="16"/>
      <c r="AQ520" s="16"/>
      <c r="AR520" s="16"/>
      <c r="AS520" s="16"/>
      <c r="AT520" s="16"/>
      <c r="AU520" s="16"/>
    </row>
    <row r="521" spans="1:47" ht="101.25" customHeight="1">
      <c r="A521" s="859"/>
      <c r="B521" s="893"/>
      <c r="C521" s="894"/>
      <c r="D521" s="894"/>
      <c r="E521" s="894"/>
      <c r="F521" s="894"/>
      <c r="G521" s="894"/>
      <c r="H521" s="895"/>
      <c r="I521" s="850"/>
      <c r="J521" s="429">
        <v>9199</v>
      </c>
      <c r="K521" s="477">
        <v>11780.02493</v>
      </c>
      <c r="L521" s="468">
        <v>213</v>
      </c>
      <c r="M521" s="858"/>
      <c r="N521" s="648">
        <v>0.302</v>
      </c>
      <c r="O521" s="440"/>
      <c r="P521" s="469">
        <f>ROUND(P520*N521,0)</f>
        <v>10959</v>
      </c>
      <c r="Q521" s="469">
        <v>10959</v>
      </c>
      <c r="R521" s="469">
        <v>10959</v>
      </c>
      <c r="S521" s="469">
        <v>10959</v>
      </c>
      <c r="T521" s="46">
        <v>10959</v>
      </c>
      <c r="U521" s="47">
        <v>10959</v>
      </c>
      <c r="V521" s="119">
        <f>U521</f>
        <v>10959</v>
      </c>
      <c r="W521" s="88">
        <v>5854</v>
      </c>
      <c r="X521" s="88">
        <f>W521</f>
        <v>5854</v>
      </c>
      <c r="Y521" s="88">
        <f>W521</f>
        <v>5854</v>
      </c>
      <c r="Z521" s="88">
        <f>Y521</f>
        <v>5854</v>
      </c>
      <c r="AE521" s="10"/>
      <c r="AN521" s="3"/>
      <c r="AO521" s="16"/>
      <c r="AP521" s="16"/>
      <c r="AQ521" s="16"/>
      <c r="AR521" s="16"/>
      <c r="AS521" s="16"/>
      <c r="AT521" s="16"/>
      <c r="AU521" s="16"/>
    </row>
    <row r="522" spans="1:47" ht="29.25" customHeight="1">
      <c r="A522" s="859" t="s">
        <v>190</v>
      </c>
      <c r="B522" s="893"/>
      <c r="C522" s="894"/>
      <c r="D522" s="894"/>
      <c r="E522" s="894"/>
      <c r="F522" s="894"/>
      <c r="G522" s="894"/>
      <c r="H522" s="895"/>
      <c r="I522" s="850"/>
      <c r="J522" s="429">
        <v>25451.84</v>
      </c>
      <c r="K522" s="467">
        <v>18002.585727</v>
      </c>
      <c r="L522" s="468">
        <v>211</v>
      </c>
      <c r="M522" s="865" t="s">
        <v>334</v>
      </c>
      <c r="N522" s="659">
        <v>1</v>
      </c>
      <c r="O522" s="498">
        <f>ROUND(12100*0.12,1)</f>
        <v>1452</v>
      </c>
      <c r="P522" s="469">
        <f>ROUND(N522*O522*12,0)</f>
        <v>17424</v>
      </c>
      <c r="Q522" s="469">
        <v>17424</v>
      </c>
      <c r="R522" s="433">
        <v>17424</v>
      </c>
      <c r="S522" s="470">
        <v>17424</v>
      </c>
      <c r="T522" s="46">
        <v>17424</v>
      </c>
      <c r="U522" s="47">
        <v>17424</v>
      </c>
      <c r="V522" s="119">
        <f>U522</f>
        <v>17424</v>
      </c>
      <c r="W522" s="88">
        <v>9307</v>
      </c>
      <c r="X522" s="88">
        <f>W522</f>
        <v>9307</v>
      </c>
      <c r="Y522" s="88">
        <f>W522</f>
        <v>9307</v>
      </c>
      <c r="Z522" s="88">
        <f>Y522</f>
        <v>9307</v>
      </c>
      <c r="AE522" s="10"/>
      <c r="AN522" s="3"/>
      <c r="AO522" s="16"/>
      <c r="AP522" s="16"/>
      <c r="AQ522" s="16"/>
      <c r="AR522" s="16"/>
      <c r="AS522" s="16"/>
      <c r="AT522" s="16"/>
      <c r="AU522" s="16"/>
    </row>
    <row r="523" spans="1:47" ht="75" customHeight="1">
      <c r="A523" s="859"/>
      <c r="B523" s="896"/>
      <c r="C523" s="897"/>
      <c r="D523" s="897"/>
      <c r="E523" s="897"/>
      <c r="F523" s="897"/>
      <c r="G523" s="897"/>
      <c r="H523" s="898"/>
      <c r="I523" s="850"/>
      <c r="J523" s="429">
        <v>8570.77</v>
      </c>
      <c r="K523" s="467">
        <v>5436.77452934</v>
      </c>
      <c r="L523" s="468">
        <v>213</v>
      </c>
      <c r="M523" s="865"/>
      <c r="N523" s="648">
        <v>0.3022</v>
      </c>
      <c r="O523" s="498"/>
      <c r="P523" s="469">
        <f>ROUND(P522*N523,0)</f>
        <v>5266</v>
      </c>
      <c r="Q523" s="469">
        <v>5266</v>
      </c>
      <c r="R523" s="469">
        <v>5266</v>
      </c>
      <c r="S523" s="469">
        <v>5266</v>
      </c>
      <c r="T523" s="46">
        <v>5266</v>
      </c>
      <c r="U523" s="47">
        <v>5266</v>
      </c>
      <c r="V523" s="119">
        <f>U523</f>
        <v>5266</v>
      </c>
      <c r="W523" s="88">
        <v>2813</v>
      </c>
      <c r="X523" s="88">
        <f>W523</f>
        <v>2813</v>
      </c>
      <c r="Y523" s="88">
        <f>W523</f>
        <v>2813</v>
      </c>
      <c r="Z523" s="88">
        <f>Y523</f>
        <v>2813</v>
      </c>
      <c r="AE523" s="10"/>
      <c r="AN523" s="3"/>
      <c r="AO523" s="16"/>
      <c r="AP523" s="16"/>
      <c r="AQ523" s="16"/>
      <c r="AR523" s="16"/>
      <c r="AS523" s="16"/>
      <c r="AT523" s="16"/>
      <c r="AU523" s="16"/>
    </row>
    <row r="524" spans="1:47" ht="45" customHeight="1">
      <c r="A524" s="499" t="s">
        <v>16</v>
      </c>
      <c r="B524" s="866"/>
      <c r="C524" s="867"/>
      <c r="D524" s="867"/>
      <c r="E524" s="867"/>
      <c r="F524" s="867"/>
      <c r="G524" s="867"/>
      <c r="H524" s="867"/>
      <c r="I524" s="849" t="s">
        <v>225</v>
      </c>
      <c r="J524" s="500">
        <f>J525+J526</f>
        <v>1124163.07</v>
      </c>
      <c r="K524" s="125">
        <v>1054620</v>
      </c>
      <c r="L524" s="501" t="s">
        <v>74</v>
      </c>
      <c r="M524" s="502"/>
      <c r="N524" s="660">
        <f>N531+N533+N535+N537+N539</f>
        <v>16</v>
      </c>
      <c r="O524" s="503">
        <v>5000</v>
      </c>
      <c r="P524" s="503">
        <f aca="true" t="shared" si="129" ref="P524:Z524">P525+P526</f>
        <v>1249920</v>
      </c>
      <c r="Q524" s="503">
        <f t="shared" si="129"/>
        <v>1249920</v>
      </c>
      <c r="R524" s="503">
        <f t="shared" si="129"/>
        <v>1249920</v>
      </c>
      <c r="S524" s="503">
        <f t="shared" si="129"/>
        <v>1249920</v>
      </c>
      <c r="T524" s="504">
        <f t="shared" si="129"/>
        <v>1249920</v>
      </c>
      <c r="U524" s="125">
        <f t="shared" si="129"/>
        <v>1249920</v>
      </c>
      <c r="V524" s="125">
        <f t="shared" si="129"/>
        <v>1249920</v>
      </c>
      <c r="W524" s="125">
        <f t="shared" si="129"/>
        <v>667706</v>
      </c>
      <c r="X524" s="125">
        <f t="shared" si="129"/>
        <v>667706</v>
      </c>
      <c r="Y524" s="125">
        <f t="shared" si="129"/>
        <v>667706</v>
      </c>
      <c r="Z524" s="125">
        <f t="shared" si="129"/>
        <v>667706</v>
      </c>
      <c r="AE524" s="10"/>
      <c r="AN524" s="3"/>
      <c r="AO524" s="16"/>
      <c r="AP524" s="16"/>
      <c r="AQ524" s="16"/>
      <c r="AR524" s="16"/>
      <c r="AS524" s="16"/>
      <c r="AT524" s="16"/>
      <c r="AU524" s="16"/>
    </row>
    <row r="525" spans="1:47" ht="38.25" customHeight="1">
      <c r="A525" s="505"/>
      <c r="B525" s="847" t="s">
        <v>385</v>
      </c>
      <c r="C525" s="850"/>
      <c r="D525" s="850"/>
      <c r="E525" s="850"/>
      <c r="F525" s="850"/>
      <c r="G525" s="850"/>
      <c r="H525" s="850"/>
      <c r="I525" s="849"/>
      <c r="J525" s="429">
        <f>J527+J529+J531+J533+J535+J537+J539</f>
        <v>863710.98</v>
      </c>
      <c r="K525" s="429">
        <f>K527+K529+K531+K533+K535+K537+K539</f>
        <v>1620000</v>
      </c>
      <c r="L525" s="458">
        <v>211</v>
      </c>
      <c r="M525" s="459"/>
      <c r="N525" s="661">
        <f aca="true" t="shared" si="130" ref="N525:Y526">N527+N529+N531+N533+N535+N537+N539</f>
        <v>16</v>
      </c>
      <c r="O525" s="448">
        <f t="shared" si="130"/>
        <v>25000</v>
      </c>
      <c r="P525" s="448">
        <f t="shared" si="130"/>
        <v>960000</v>
      </c>
      <c r="Q525" s="448">
        <f t="shared" si="130"/>
        <v>960000</v>
      </c>
      <c r="R525" s="448">
        <f t="shared" si="130"/>
        <v>960000</v>
      </c>
      <c r="S525" s="448">
        <f t="shared" si="130"/>
        <v>960000</v>
      </c>
      <c r="T525" s="429">
        <f t="shared" si="130"/>
        <v>960000</v>
      </c>
      <c r="U525" s="126">
        <f t="shared" si="130"/>
        <v>960000</v>
      </c>
      <c r="V525" s="126">
        <f>U525</f>
        <v>960000</v>
      </c>
      <c r="W525" s="126">
        <f t="shared" si="130"/>
        <v>512832</v>
      </c>
      <c r="X525" s="126">
        <f>W525</f>
        <v>512832</v>
      </c>
      <c r="Y525" s="126">
        <f t="shared" si="130"/>
        <v>512832</v>
      </c>
      <c r="Z525" s="88">
        <f>Y525</f>
        <v>512832</v>
      </c>
      <c r="AE525" s="10"/>
      <c r="AN525" s="3"/>
      <c r="AO525" s="16"/>
      <c r="AP525" s="16"/>
      <c r="AQ525" s="16"/>
      <c r="AR525" s="16"/>
      <c r="AS525" s="16"/>
      <c r="AT525" s="16"/>
      <c r="AU525" s="16"/>
    </row>
    <row r="526" spans="1:47" ht="38.25" customHeight="1">
      <c r="A526" s="505"/>
      <c r="B526" s="847" t="s">
        <v>386</v>
      </c>
      <c r="C526" s="850"/>
      <c r="D526" s="850"/>
      <c r="E526" s="850"/>
      <c r="F526" s="850"/>
      <c r="G526" s="850"/>
      <c r="H526" s="850"/>
      <c r="I526" s="849"/>
      <c r="J526" s="429">
        <f>J528+J530+J532+J534+J536+J538+J540</f>
        <v>260452.09</v>
      </c>
      <c r="K526" s="429">
        <f>K528+K530+K532+K534+K536+K538+K540</f>
        <v>489240</v>
      </c>
      <c r="L526" s="458">
        <v>213</v>
      </c>
      <c r="M526" s="459"/>
      <c r="N526" s="661"/>
      <c r="O526" s="448">
        <f t="shared" si="130"/>
        <v>0</v>
      </c>
      <c r="P526" s="448">
        <f t="shared" si="130"/>
        <v>289920</v>
      </c>
      <c r="Q526" s="448">
        <f t="shared" si="130"/>
        <v>289920</v>
      </c>
      <c r="R526" s="448">
        <f t="shared" si="130"/>
        <v>289920</v>
      </c>
      <c r="S526" s="448">
        <f t="shared" si="130"/>
        <v>289920</v>
      </c>
      <c r="T526" s="429">
        <f t="shared" si="130"/>
        <v>289920</v>
      </c>
      <c r="U526" s="126">
        <f t="shared" si="130"/>
        <v>289920</v>
      </c>
      <c r="V526" s="126">
        <f aca="true" t="shared" si="131" ref="V526:V540">U526</f>
        <v>289920</v>
      </c>
      <c r="W526" s="126">
        <f t="shared" si="130"/>
        <v>154874</v>
      </c>
      <c r="X526" s="126">
        <f aca="true" t="shared" si="132" ref="X526:X540">W526</f>
        <v>154874</v>
      </c>
      <c r="Y526" s="126">
        <f t="shared" si="130"/>
        <v>154874</v>
      </c>
      <c r="Z526" s="88">
        <f aca="true" t="shared" si="133" ref="Z526:Z540">Y526</f>
        <v>154874</v>
      </c>
      <c r="AE526" s="10"/>
      <c r="AN526" s="3"/>
      <c r="AO526" s="16"/>
      <c r="AP526" s="16"/>
      <c r="AQ526" s="16"/>
      <c r="AR526" s="16"/>
      <c r="AS526" s="16"/>
      <c r="AT526" s="16"/>
      <c r="AU526" s="16"/>
    </row>
    <row r="527" spans="1:47" ht="23.25" customHeight="1" hidden="1">
      <c r="A527" s="868" t="s">
        <v>59</v>
      </c>
      <c r="B527" s="869"/>
      <c r="C527" s="862"/>
      <c r="D527" s="862"/>
      <c r="E527" s="862"/>
      <c r="F527" s="862"/>
      <c r="G527" s="862"/>
      <c r="H527" s="862"/>
      <c r="I527" s="849"/>
      <c r="J527" s="445">
        <v>0</v>
      </c>
      <c r="K527" s="196">
        <v>810000</v>
      </c>
      <c r="L527" s="506">
        <v>211</v>
      </c>
      <c r="M527" s="860"/>
      <c r="N527" s="627">
        <v>0</v>
      </c>
      <c r="O527" s="460">
        <v>0</v>
      </c>
      <c r="P527" s="460">
        <v>0</v>
      </c>
      <c r="Q527" s="460">
        <v>0</v>
      </c>
      <c r="R527" s="460">
        <v>0</v>
      </c>
      <c r="S527" s="460">
        <v>0</v>
      </c>
      <c r="T527" s="88">
        <v>0</v>
      </c>
      <c r="U527" s="88">
        <v>0</v>
      </c>
      <c r="V527" s="126">
        <f t="shared" si="131"/>
        <v>0</v>
      </c>
      <c r="W527" s="88"/>
      <c r="X527" s="126">
        <f t="shared" si="132"/>
        <v>0</v>
      </c>
      <c r="Y527" s="88">
        <f>W527</f>
        <v>0</v>
      </c>
      <c r="Z527" s="88">
        <f t="shared" si="133"/>
        <v>0</v>
      </c>
      <c r="AE527" s="10"/>
      <c r="AN527" s="3"/>
      <c r="AO527" s="16"/>
      <c r="AP527" s="16"/>
      <c r="AQ527" s="16"/>
      <c r="AR527" s="16"/>
      <c r="AS527" s="16"/>
      <c r="AT527" s="16"/>
      <c r="AU527" s="16"/>
    </row>
    <row r="528" spans="1:47" ht="27" hidden="1">
      <c r="A528" s="850"/>
      <c r="B528" s="862"/>
      <c r="C528" s="862"/>
      <c r="D528" s="862"/>
      <c r="E528" s="862"/>
      <c r="F528" s="862"/>
      <c r="G528" s="862"/>
      <c r="H528" s="862"/>
      <c r="I528" s="849"/>
      <c r="J528" s="445">
        <v>0</v>
      </c>
      <c r="K528" s="196">
        <v>244620</v>
      </c>
      <c r="L528" s="506">
        <v>213</v>
      </c>
      <c r="M528" s="860"/>
      <c r="N528" s="627">
        <v>0</v>
      </c>
      <c r="O528" s="460">
        <v>0</v>
      </c>
      <c r="P528" s="460">
        <v>0</v>
      </c>
      <c r="Q528" s="460">
        <v>0</v>
      </c>
      <c r="R528" s="460">
        <v>0</v>
      </c>
      <c r="S528" s="460">
        <v>0</v>
      </c>
      <c r="T528" s="88">
        <v>0</v>
      </c>
      <c r="U528" s="88">
        <v>0</v>
      </c>
      <c r="V528" s="126">
        <f t="shared" si="131"/>
        <v>0</v>
      </c>
      <c r="W528" s="88"/>
      <c r="X528" s="126">
        <f t="shared" si="132"/>
        <v>0</v>
      </c>
      <c r="Y528" s="88">
        <f aca="true" t="shared" si="134" ref="Y528:Y540">W528</f>
        <v>0</v>
      </c>
      <c r="Z528" s="88">
        <f t="shared" si="133"/>
        <v>0</v>
      </c>
      <c r="AE528" s="10"/>
      <c r="AN528" s="3"/>
      <c r="AO528" s="16"/>
      <c r="AP528" s="16"/>
      <c r="AQ528" s="16"/>
      <c r="AR528" s="16"/>
      <c r="AS528" s="16"/>
      <c r="AT528" s="16"/>
      <c r="AU528" s="16"/>
    </row>
    <row r="529" spans="1:47" ht="35.25" hidden="1">
      <c r="A529" s="859" t="s">
        <v>39</v>
      </c>
      <c r="B529" s="827"/>
      <c r="C529" s="827"/>
      <c r="D529" s="827"/>
      <c r="E529" s="827"/>
      <c r="F529" s="827"/>
      <c r="G529" s="827"/>
      <c r="H529" s="827"/>
      <c r="I529" s="849"/>
      <c r="J529" s="507">
        <v>50129.5</v>
      </c>
      <c r="K529" s="508">
        <v>45000</v>
      </c>
      <c r="L529" s="509">
        <v>211</v>
      </c>
      <c r="M529" s="860"/>
      <c r="N529" s="662">
        <v>0</v>
      </c>
      <c r="O529" s="510">
        <v>0</v>
      </c>
      <c r="P529" s="510">
        <v>0</v>
      </c>
      <c r="Q529" s="510">
        <v>0</v>
      </c>
      <c r="R529" s="508">
        <v>0</v>
      </c>
      <c r="S529" s="196">
        <v>0</v>
      </c>
      <c r="T529" s="88">
        <v>0</v>
      </c>
      <c r="U529" s="88">
        <v>0</v>
      </c>
      <c r="V529" s="126">
        <f t="shared" si="131"/>
        <v>0</v>
      </c>
      <c r="W529" s="88"/>
      <c r="X529" s="126">
        <f t="shared" si="132"/>
        <v>0</v>
      </c>
      <c r="Y529" s="88">
        <f t="shared" si="134"/>
        <v>0</v>
      </c>
      <c r="Z529" s="88">
        <f t="shared" si="133"/>
        <v>0</v>
      </c>
      <c r="AE529" s="10"/>
      <c r="AN529" s="3"/>
      <c r="AO529" s="16"/>
      <c r="AP529" s="16"/>
      <c r="AQ529" s="16"/>
      <c r="AR529" s="16"/>
      <c r="AS529" s="16"/>
      <c r="AT529" s="16"/>
      <c r="AU529" s="16"/>
    </row>
    <row r="530" spans="1:47" ht="35.25" hidden="1">
      <c r="A530" s="856"/>
      <c r="B530" s="827"/>
      <c r="C530" s="827"/>
      <c r="D530" s="827"/>
      <c r="E530" s="827"/>
      <c r="F530" s="827"/>
      <c r="G530" s="827"/>
      <c r="H530" s="827"/>
      <c r="I530" s="849"/>
      <c r="J530" s="507">
        <v>15139.1</v>
      </c>
      <c r="K530" s="508">
        <v>13590</v>
      </c>
      <c r="L530" s="509">
        <v>213</v>
      </c>
      <c r="M530" s="860"/>
      <c r="N530" s="662">
        <v>0</v>
      </c>
      <c r="O530" s="510">
        <v>0</v>
      </c>
      <c r="P530" s="510">
        <v>0</v>
      </c>
      <c r="Q530" s="510">
        <v>0</v>
      </c>
      <c r="R530" s="508">
        <v>0</v>
      </c>
      <c r="S530" s="196">
        <v>0</v>
      </c>
      <c r="T530" s="88">
        <v>0</v>
      </c>
      <c r="U530" s="88">
        <v>0</v>
      </c>
      <c r="V530" s="126">
        <f t="shared" si="131"/>
        <v>0</v>
      </c>
      <c r="W530" s="88"/>
      <c r="X530" s="126">
        <f t="shared" si="132"/>
        <v>0</v>
      </c>
      <c r="Y530" s="88">
        <f t="shared" si="134"/>
        <v>0</v>
      </c>
      <c r="Z530" s="88">
        <f t="shared" si="133"/>
        <v>0</v>
      </c>
      <c r="AE530" s="10"/>
      <c r="AN530" s="3"/>
      <c r="AO530" s="16"/>
      <c r="AP530" s="16"/>
      <c r="AQ530" s="16"/>
      <c r="AR530" s="16"/>
      <c r="AS530" s="16"/>
      <c r="AT530" s="16"/>
      <c r="AU530" s="16"/>
    </row>
    <row r="531" spans="1:47" ht="36" customHeight="1">
      <c r="A531" s="859" t="s">
        <v>48</v>
      </c>
      <c r="B531" s="827"/>
      <c r="C531" s="827"/>
      <c r="D531" s="827"/>
      <c r="E531" s="827"/>
      <c r="F531" s="827"/>
      <c r="G531" s="827"/>
      <c r="H531" s="827"/>
      <c r="I531" s="849"/>
      <c r="J531" s="507">
        <v>60000</v>
      </c>
      <c r="K531" s="122">
        <v>45000</v>
      </c>
      <c r="L531" s="509">
        <v>211</v>
      </c>
      <c r="M531" s="860"/>
      <c r="N531" s="663">
        <v>1</v>
      </c>
      <c r="O531" s="484">
        <v>5000</v>
      </c>
      <c r="P531" s="122">
        <f>ROUND(N531*O531*12,0)</f>
        <v>60000</v>
      </c>
      <c r="Q531" s="484">
        <v>60000</v>
      </c>
      <c r="R531" s="122">
        <v>60000</v>
      </c>
      <c r="S531" s="196">
        <v>60000</v>
      </c>
      <c r="T531" s="88">
        <v>60000</v>
      </c>
      <c r="U531" s="88">
        <v>60000</v>
      </c>
      <c r="V531" s="126">
        <f t="shared" si="131"/>
        <v>60000</v>
      </c>
      <c r="W531" s="88">
        <v>32052</v>
      </c>
      <c r="X531" s="126">
        <f t="shared" si="132"/>
        <v>32052</v>
      </c>
      <c r="Y531" s="88">
        <f t="shared" si="134"/>
        <v>32052</v>
      </c>
      <c r="Z531" s="88">
        <f t="shared" si="133"/>
        <v>32052</v>
      </c>
      <c r="AE531" s="10"/>
      <c r="AN531" s="3"/>
      <c r="AO531" s="16"/>
      <c r="AP531" s="16"/>
      <c r="AQ531" s="16"/>
      <c r="AR531" s="16"/>
      <c r="AS531" s="16"/>
      <c r="AT531" s="16"/>
      <c r="AU531" s="16"/>
    </row>
    <row r="532" spans="1:47" ht="67.5" customHeight="1">
      <c r="A532" s="856"/>
      <c r="B532" s="827"/>
      <c r="C532" s="827"/>
      <c r="D532" s="827"/>
      <c r="E532" s="827"/>
      <c r="F532" s="827"/>
      <c r="G532" s="827"/>
      <c r="H532" s="827"/>
      <c r="I532" s="849"/>
      <c r="J532" s="507">
        <v>18120</v>
      </c>
      <c r="K532" s="122">
        <v>13590</v>
      </c>
      <c r="L532" s="509">
        <v>213</v>
      </c>
      <c r="M532" s="860"/>
      <c r="N532" s="648">
        <v>0.302</v>
      </c>
      <c r="O532" s="122"/>
      <c r="P532" s="122">
        <f>ROUND(P531*N532,0)</f>
        <v>18120</v>
      </c>
      <c r="Q532" s="122">
        <v>18120</v>
      </c>
      <c r="R532" s="122">
        <v>18120</v>
      </c>
      <c r="S532" s="196">
        <v>18120</v>
      </c>
      <c r="T532" s="88">
        <v>18120</v>
      </c>
      <c r="U532" s="88">
        <v>18120</v>
      </c>
      <c r="V532" s="126">
        <f t="shared" si="131"/>
        <v>18120</v>
      </c>
      <c r="W532" s="88">
        <v>9680</v>
      </c>
      <c r="X532" s="126">
        <f t="shared" si="132"/>
        <v>9680</v>
      </c>
      <c r="Y532" s="88">
        <f t="shared" si="134"/>
        <v>9680</v>
      </c>
      <c r="Z532" s="88">
        <f t="shared" si="133"/>
        <v>9680</v>
      </c>
      <c r="AE532" s="10"/>
      <c r="AN532" s="3"/>
      <c r="AO532" s="16"/>
      <c r="AP532" s="16"/>
      <c r="AQ532" s="16"/>
      <c r="AR532" s="16"/>
      <c r="AS532" s="16"/>
      <c r="AT532" s="16"/>
      <c r="AU532" s="16"/>
    </row>
    <row r="533" spans="1:47" ht="26.25" customHeight="1">
      <c r="A533" s="859" t="s">
        <v>191</v>
      </c>
      <c r="B533" s="827"/>
      <c r="C533" s="827"/>
      <c r="D533" s="827"/>
      <c r="E533" s="827"/>
      <c r="F533" s="827"/>
      <c r="G533" s="827"/>
      <c r="H533" s="827"/>
      <c r="I533" s="849"/>
      <c r="J533" s="507">
        <v>250000</v>
      </c>
      <c r="K533" s="122">
        <v>180000</v>
      </c>
      <c r="L533" s="509">
        <v>211</v>
      </c>
      <c r="M533" s="860"/>
      <c r="N533" s="664">
        <v>5</v>
      </c>
      <c r="O533" s="122">
        <v>5000</v>
      </c>
      <c r="P533" s="122">
        <f>ROUND(N533*O533*12,0)</f>
        <v>300000</v>
      </c>
      <c r="Q533" s="88">
        <v>300000</v>
      </c>
      <c r="R533" s="122">
        <v>300000</v>
      </c>
      <c r="S533" s="196">
        <v>300000</v>
      </c>
      <c r="T533" s="88">
        <v>300000</v>
      </c>
      <c r="U533" s="88">
        <v>300000</v>
      </c>
      <c r="V533" s="126">
        <f t="shared" si="131"/>
        <v>300000</v>
      </c>
      <c r="W533" s="88">
        <v>160260</v>
      </c>
      <c r="X533" s="126">
        <f t="shared" si="132"/>
        <v>160260</v>
      </c>
      <c r="Y533" s="88">
        <f t="shared" si="134"/>
        <v>160260</v>
      </c>
      <c r="Z533" s="88">
        <f t="shared" si="133"/>
        <v>160260</v>
      </c>
      <c r="AE533" s="10"/>
      <c r="AN533" s="3"/>
      <c r="AO533" s="16"/>
      <c r="AP533" s="16"/>
      <c r="AQ533" s="16"/>
      <c r="AR533" s="16"/>
      <c r="AS533" s="16"/>
      <c r="AT533" s="16"/>
      <c r="AU533" s="16"/>
    </row>
    <row r="534" spans="1:47" ht="62.25" customHeight="1">
      <c r="A534" s="856"/>
      <c r="B534" s="827"/>
      <c r="C534" s="827"/>
      <c r="D534" s="827"/>
      <c r="E534" s="827"/>
      <c r="F534" s="827"/>
      <c r="G534" s="827"/>
      <c r="H534" s="827"/>
      <c r="I534" s="849"/>
      <c r="J534" s="507">
        <v>75112</v>
      </c>
      <c r="K534" s="122">
        <v>54360</v>
      </c>
      <c r="L534" s="509">
        <v>213</v>
      </c>
      <c r="M534" s="863"/>
      <c r="N534" s="648">
        <v>0.302</v>
      </c>
      <c r="O534" s="122"/>
      <c r="P534" s="122">
        <f>ROUND(P533*N534,0)</f>
        <v>90600</v>
      </c>
      <c r="Q534" s="88">
        <v>90600</v>
      </c>
      <c r="R534" s="122">
        <v>90600</v>
      </c>
      <c r="S534" s="196">
        <v>90600</v>
      </c>
      <c r="T534" s="88">
        <v>90600</v>
      </c>
      <c r="U534" s="88">
        <v>90600</v>
      </c>
      <c r="V534" s="126">
        <f t="shared" si="131"/>
        <v>90600</v>
      </c>
      <c r="W534" s="88">
        <v>48398</v>
      </c>
      <c r="X534" s="126">
        <f t="shared" si="132"/>
        <v>48398</v>
      </c>
      <c r="Y534" s="88">
        <f t="shared" si="134"/>
        <v>48398</v>
      </c>
      <c r="Z534" s="88">
        <f t="shared" si="133"/>
        <v>48398</v>
      </c>
      <c r="AE534" s="10"/>
      <c r="AN534" s="3"/>
      <c r="AO534" s="16"/>
      <c r="AP534" s="16"/>
      <c r="AQ534" s="16"/>
      <c r="AR534" s="16"/>
      <c r="AS534" s="16"/>
      <c r="AT534" s="16"/>
      <c r="AU534" s="16"/>
    </row>
    <row r="535" spans="1:47" ht="42" customHeight="1">
      <c r="A535" s="859" t="s">
        <v>192</v>
      </c>
      <c r="B535" s="827"/>
      <c r="C535" s="827"/>
      <c r="D535" s="827"/>
      <c r="E535" s="827"/>
      <c r="F535" s="827"/>
      <c r="G535" s="827"/>
      <c r="H535" s="827"/>
      <c r="I535" s="849"/>
      <c r="J535" s="126">
        <v>104613.78</v>
      </c>
      <c r="K535" s="508">
        <v>135000</v>
      </c>
      <c r="L535" s="509">
        <v>211</v>
      </c>
      <c r="M535" s="864"/>
      <c r="N535" s="638">
        <v>2</v>
      </c>
      <c r="O535" s="434">
        <v>5000</v>
      </c>
      <c r="P535" s="122">
        <f>ROUND(N535*O535*12,0)</f>
        <v>120000</v>
      </c>
      <c r="Q535" s="434">
        <v>120000</v>
      </c>
      <c r="R535" s="434">
        <v>120000</v>
      </c>
      <c r="S535" s="434">
        <v>120000</v>
      </c>
      <c r="T535" s="88">
        <v>120000</v>
      </c>
      <c r="U535" s="88">
        <v>120000</v>
      </c>
      <c r="V535" s="126">
        <f t="shared" si="131"/>
        <v>120000</v>
      </c>
      <c r="W535" s="88">
        <v>64104</v>
      </c>
      <c r="X535" s="126">
        <f t="shared" si="132"/>
        <v>64104</v>
      </c>
      <c r="Y535" s="88">
        <f t="shared" si="134"/>
        <v>64104</v>
      </c>
      <c r="Z535" s="88">
        <f t="shared" si="133"/>
        <v>64104</v>
      </c>
      <c r="AE535" s="10"/>
      <c r="AN535" s="3"/>
      <c r="AO535" s="16"/>
      <c r="AP535" s="16"/>
      <c r="AQ535" s="16"/>
      <c r="AR535" s="16"/>
      <c r="AS535" s="16"/>
      <c r="AT535" s="16"/>
      <c r="AU535" s="16"/>
    </row>
    <row r="536" spans="1:47" ht="64.5" customHeight="1">
      <c r="A536" s="856"/>
      <c r="B536" s="827"/>
      <c r="C536" s="827"/>
      <c r="D536" s="827"/>
      <c r="E536" s="827"/>
      <c r="F536" s="827"/>
      <c r="G536" s="827"/>
      <c r="H536" s="827"/>
      <c r="I536" s="849"/>
      <c r="J536" s="126">
        <v>31593.37</v>
      </c>
      <c r="K536" s="508">
        <v>40770</v>
      </c>
      <c r="L536" s="509">
        <v>213</v>
      </c>
      <c r="M536" s="864"/>
      <c r="N536" s="648">
        <v>0.302</v>
      </c>
      <c r="O536" s="434"/>
      <c r="P536" s="122">
        <f>ROUND(P535*N536,0)</f>
        <v>36240</v>
      </c>
      <c r="Q536" s="434">
        <v>36240</v>
      </c>
      <c r="R536" s="434">
        <v>36240</v>
      </c>
      <c r="S536" s="434">
        <v>36240</v>
      </c>
      <c r="T536" s="88">
        <v>36240</v>
      </c>
      <c r="U536" s="88">
        <v>36240</v>
      </c>
      <c r="V536" s="126">
        <f t="shared" si="131"/>
        <v>36240</v>
      </c>
      <c r="W536" s="88">
        <v>19359</v>
      </c>
      <c r="X536" s="126">
        <f t="shared" si="132"/>
        <v>19359</v>
      </c>
      <c r="Y536" s="88">
        <f t="shared" si="134"/>
        <v>19359</v>
      </c>
      <c r="Z536" s="88">
        <f t="shared" si="133"/>
        <v>19359</v>
      </c>
      <c r="AE536" s="10"/>
      <c r="AN536" s="3"/>
      <c r="AO536" s="16"/>
      <c r="AP536" s="16"/>
      <c r="AQ536" s="16"/>
      <c r="AR536" s="16"/>
      <c r="AS536" s="16"/>
      <c r="AT536" s="16"/>
      <c r="AU536" s="16"/>
    </row>
    <row r="537" spans="1:47" ht="38.25" customHeight="1">
      <c r="A537" s="855" t="s">
        <v>193</v>
      </c>
      <c r="B537" s="827"/>
      <c r="C537" s="827"/>
      <c r="D537" s="827"/>
      <c r="E537" s="827"/>
      <c r="F537" s="827"/>
      <c r="G537" s="827"/>
      <c r="H537" s="827"/>
      <c r="I537" s="849"/>
      <c r="J537" s="507">
        <v>234161</v>
      </c>
      <c r="K537" s="511">
        <v>225000</v>
      </c>
      <c r="L537" s="512">
        <v>211</v>
      </c>
      <c r="M537" s="857"/>
      <c r="N537" s="665">
        <v>5</v>
      </c>
      <c r="O537" s="511">
        <v>5000</v>
      </c>
      <c r="P537" s="122">
        <f>ROUND(N537*O537*12,0)</f>
        <v>300000</v>
      </c>
      <c r="Q537" s="511">
        <v>300000</v>
      </c>
      <c r="R537" s="511">
        <v>300000</v>
      </c>
      <c r="S537" s="511">
        <v>300000</v>
      </c>
      <c r="T537" s="88">
        <v>300000</v>
      </c>
      <c r="U537" s="88">
        <v>300000</v>
      </c>
      <c r="V537" s="126">
        <f t="shared" si="131"/>
        <v>300000</v>
      </c>
      <c r="W537" s="88">
        <v>160260</v>
      </c>
      <c r="X537" s="126">
        <f t="shared" si="132"/>
        <v>160260</v>
      </c>
      <c r="Y537" s="88">
        <f t="shared" si="134"/>
        <v>160260</v>
      </c>
      <c r="Z537" s="88">
        <f t="shared" si="133"/>
        <v>160260</v>
      </c>
      <c r="AE537" s="10"/>
      <c r="AN537" s="3"/>
      <c r="AO537" s="16"/>
      <c r="AP537" s="16"/>
      <c r="AQ537" s="16"/>
      <c r="AR537" s="16"/>
      <c r="AS537" s="16"/>
      <c r="AT537" s="16"/>
      <c r="AU537" s="16"/>
    </row>
    <row r="538" spans="1:47" ht="63" customHeight="1">
      <c r="A538" s="856"/>
      <c r="B538" s="827"/>
      <c r="C538" s="827"/>
      <c r="D538" s="827"/>
      <c r="E538" s="827"/>
      <c r="F538" s="827"/>
      <c r="G538" s="827"/>
      <c r="H538" s="827"/>
      <c r="I538" s="849"/>
      <c r="J538" s="507">
        <v>70716</v>
      </c>
      <c r="K538" s="511">
        <v>67950</v>
      </c>
      <c r="L538" s="512">
        <v>213</v>
      </c>
      <c r="M538" s="858"/>
      <c r="N538" s="648">
        <v>0.302</v>
      </c>
      <c r="O538" s="122"/>
      <c r="P538" s="122">
        <f>ROUND(P537*N538,0)</f>
        <v>90600</v>
      </c>
      <c r="Q538" s="122">
        <v>90600</v>
      </c>
      <c r="R538" s="122">
        <v>90600</v>
      </c>
      <c r="S538" s="122">
        <v>90600</v>
      </c>
      <c r="T538" s="88">
        <v>90600</v>
      </c>
      <c r="U538" s="88">
        <v>90600</v>
      </c>
      <c r="V538" s="126">
        <f t="shared" si="131"/>
        <v>90600</v>
      </c>
      <c r="W538" s="88">
        <v>48398</v>
      </c>
      <c r="X538" s="126">
        <f t="shared" si="132"/>
        <v>48398</v>
      </c>
      <c r="Y538" s="88">
        <f t="shared" si="134"/>
        <v>48398</v>
      </c>
      <c r="Z538" s="88">
        <f t="shared" si="133"/>
        <v>48398</v>
      </c>
      <c r="AE538" s="10"/>
      <c r="AN538" s="3"/>
      <c r="AO538" s="16"/>
      <c r="AP538" s="16"/>
      <c r="AQ538" s="16"/>
      <c r="AR538" s="16"/>
      <c r="AS538" s="16"/>
      <c r="AT538" s="16"/>
      <c r="AU538" s="16"/>
    </row>
    <row r="539" spans="1:47" ht="37.5" customHeight="1">
      <c r="A539" s="859" t="s">
        <v>194</v>
      </c>
      <c r="B539" s="827"/>
      <c r="C539" s="827"/>
      <c r="D539" s="827"/>
      <c r="E539" s="827"/>
      <c r="F539" s="827"/>
      <c r="G539" s="827"/>
      <c r="H539" s="827"/>
      <c r="I539" s="849"/>
      <c r="J539" s="507">
        <v>164806.7</v>
      </c>
      <c r="K539" s="508">
        <v>180000</v>
      </c>
      <c r="L539" s="509">
        <v>211</v>
      </c>
      <c r="M539" s="860"/>
      <c r="N539" s="664">
        <v>3</v>
      </c>
      <c r="O539" s="122">
        <v>5000</v>
      </c>
      <c r="P539" s="122">
        <f>ROUND(N539*O539*12,0)</f>
        <v>180000</v>
      </c>
      <c r="Q539" s="88">
        <v>180000</v>
      </c>
      <c r="R539" s="508">
        <v>180000</v>
      </c>
      <c r="S539" s="196">
        <v>180000</v>
      </c>
      <c r="T539" s="88">
        <v>180000</v>
      </c>
      <c r="U539" s="88">
        <v>180000</v>
      </c>
      <c r="V539" s="126">
        <f t="shared" si="131"/>
        <v>180000</v>
      </c>
      <c r="W539" s="88">
        <v>96156</v>
      </c>
      <c r="X539" s="126">
        <f t="shared" si="132"/>
        <v>96156</v>
      </c>
      <c r="Y539" s="88">
        <f t="shared" si="134"/>
        <v>96156</v>
      </c>
      <c r="Z539" s="88">
        <f t="shared" si="133"/>
        <v>96156</v>
      </c>
      <c r="AE539" s="10"/>
      <c r="AN539" s="3"/>
      <c r="AO539" s="16"/>
      <c r="AP539" s="16"/>
      <c r="AQ539" s="16"/>
      <c r="AR539" s="16"/>
      <c r="AS539" s="16"/>
      <c r="AT539" s="16"/>
      <c r="AU539" s="16"/>
    </row>
    <row r="540" spans="1:47" ht="59.25" customHeight="1">
      <c r="A540" s="856"/>
      <c r="B540" s="827"/>
      <c r="C540" s="827"/>
      <c r="D540" s="827"/>
      <c r="E540" s="827"/>
      <c r="F540" s="827"/>
      <c r="G540" s="827"/>
      <c r="H540" s="827"/>
      <c r="I540" s="849"/>
      <c r="J540" s="507">
        <v>49771.62</v>
      </c>
      <c r="K540" s="508">
        <v>54360</v>
      </c>
      <c r="L540" s="509">
        <v>213</v>
      </c>
      <c r="M540" s="860"/>
      <c r="N540" s="648">
        <v>0.302</v>
      </c>
      <c r="O540" s="122"/>
      <c r="P540" s="122">
        <f>ROUND(P539*N540,0)</f>
        <v>54360</v>
      </c>
      <c r="Q540" s="88">
        <v>54360</v>
      </c>
      <c r="R540" s="508">
        <v>54360</v>
      </c>
      <c r="S540" s="196">
        <v>54360</v>
      </c>
      <c r="T540" s="88">
        <v>54360</v>
      </c>
      <c r="U540" s="88">
        <v>54360</v>
      </c>
      <c r="V540" s="126">
        <f t="shared" si="131"/>
        <v>54360</v>
      </c>
      <c r="W540" s="88">
        <v>29039</v>
      </c>
      <c r="X540" s="126">
        <f t="shared" si="132"/>
        <v>29039</v>
      </c>
      <c r="Y540" s="88">
        <f t="shared" si="134"/>
        <v>29039</v>
      </c>
      <c r="Z540" s="88">
        <f t="shared" si="133"/>
        <v>29039</v>
      </c>
      <c r="AE540" s="10"/>
      <c r="AN540" s="3"/>
      <c r="AO540" s="16"/>
      <c r="AP540" s="16"/>
      <c r="AQ540" s="16"/>
      <c r="AR540" s="16"/>
      <c r="AS540" s="16"/>
      <c r="AT540" s="16"/>
      <c r="AU540" s="16"/>
    </row>
    <row r="541" spans="1:47" ht="250.5" customHeight="1">
      <c r="A541" s="466"/>
      <c r="B541" s="861"/>
      <c r="C541" s="861"/>
      <c r="D541" s="861"/>
      <c r="E541" s="861"/>
      <c r="F541" s="861"/>
      <c r="G541" s="861"/>
      <c r="H541" s="861"/>
      <c r="I541" s="457" t="s">
        <v>693</v>
      </c>
      <c r="J541" s="513">
        <v>0</v>
      </c>
      <c r="K541" s="514">
        <v>0</v>
      </c>
      <c r="L541" s="515" t="s">
        <v>95</v>
      </c>
      <c r="M541" s="516"/>
      <c r="N541" s="666">
        <v>0</v>
      </c>
      <c r="O541" s="514">
        <v>0</v>
      </c>
      <c r="P541" s="514">
        <v>0</v>
      </c>
      <c r="Q541" s="514">
        <v>0</v>
      </c>
      <c r="R541" s="514">
        <v>0</v>
      </c>
      <c r="S541" s="514">
        <v>0</v>
      </c>
      <c r="T541" s="514">
        <f aca="true" t="shared" si="135" ref="T541:Z541">T542</f>
        <v>1200000</v>
      </c>
      <c r="U541" s="127">
        <f t="shared" si="135"/>
        <v>1200000</v>
      </c>
      <c r="V541" s="127">
        <f t="shared" si="135"/>
        <v>1200000</v>
      </c>
      <c r="W541" s="127">
        <f t="shared" si="135"/>
        <v>600000</v>
      </c>
      <c r="X541" s="127">
        <f t="shared" si="135"/>
        <v>600000</v>
      </c>
      <c r="Y541" s="127">
        <f t="shared" si="135"/>
        <v>600000</v>
      </c>
      <c r="Z541" s="127">
        <f t="shared" si="135"/>
        <v>600000</v>
      </c>
      <c r="AE541" s="10"/>
      <c r="AN541" s="3"/>
      <c r="AO541" s="16"/>
      <c r="AP541" s="16"/>
      <c r="AQ541" s="16"/>
      <c r="AR541" s="16"/>
      <c r="AS541" s="16"/>
      <c r="AT541" s="16"/>
      <c r="AU541" s="16"/>
    </row>
    <row r="542" spans="1:47" ht="92.25" customHeight="1">
      <c r="A542" s="517" t="s">
        <v>59</v>
      </c>
      <c r="B542" s="862"/>
      <c r="C542" s="827"/>
      <c r="D542" s="827"/>
      <c r="E542" s="827"/>
      <c r="F542" s="827"/>
      <c r="G542" s="827"/>
      <c r="H542" s="827"/>
      <c r="I542" s="518"/>
      <c r="J542" s="519"/>
      <c r="K542" s="508"/>
      <c r="L542" s="509"/>
      <c r="M542" s="520"/>
      <c r="N542" s="662">
        <v>0</v>
      </c>
      <c r="O542" s="510">
        <v>0</v>
      </c>
      <c r="P542" s="510">
        <v>0</v>
      </c>
      <c r="Q542" s="510">
        <v>0</v>
      </c>
      <c r="R542" s="510">
        <v>0</v>
      </c>
      <c r="S542" s="510">
        <v>0</v>
      </c>
      <c r="T542" s="88">
        <v>1200000</v>
      </c>
      <c r="U542" s="88">
        <v>1200000</v>
      </c>
      <c r="V542" s="88">
        <f>U542</f>
        <v>1200000</v>
      </c>
      <c r="W542" s="88">
        <v>600000</v>
      </c>
      <c r="X542" s="88">
        <f>W542</f>
        <v>600000</v>
      </c>
      <c r="Y542" s="88">
        <f>W542</f>
        <v>600000</v>
      </c>
      <c r="Z542" s="88">
        <f>Y542</f>
        <v>600000</v>
      </c>
      <c r="AE542" s="10"/>
      <c r="AN542" s="3"/>
      <c r="AO542" s="16"/>
      <c r="AP542" s="16"/>
      <c r="AQ542" s="16"/>
      <c r="AR542" s="16"/>
      <c r="AS542" s="16"/>
      <c r="AT542" s="16"/>
      <c r="AU542" s="16"/>
    </row>
    <row r="543" spans="1:47" ht="48.75" customHeight="1">
      <c r="A543" s="521" t="s">
        <v>16</v>
      </c>
      <c r="B543" s="797"/>
      <c r="C543" s="848"/>
      <c r="D543" s="848"/>
      <c r="E543" s="848"/>
      <c r="F543" s="848"/>
      <c r="G543" s="848"/>
      <c r="H543" s="848"/>
      <c r="I543" s="849" t="s">
        <v>694</v>
      </c>
      <c r="J543" s="513" t="e">
        <f>J544+J552+J553+J554+#REF!+J558+J550+J551</f>
        <v>#REF!</v>
      </c>
      <c r="K543" s="513" t="e">
        <f>K544+K552+K553+K554+#REF!+K558</f>
        <v>#REF!</v>
      </c>
      <c r="L543" s="851" t="s">
        <v>195</v>
      </c>
      <c r="M543" s="522"/>
      <c r="N543" s="667">
        <f>N545+N546+N547+N548+N549+N553+N555</f>
        <v>10</v>
      </c>
      <c r="O543" s="523"/>
      <c r="P543" s="523" t="e">
        <f>P544+#REF!+P553</f>
        <v>#REF!</v>
      </c>
      <c r="Q543" s="523" t="e">
        <f>Q544+#REF!+Q553</f>
        <v>#REF!</v>
      </c>
      <c r="R543" s="523" t="e">
        <f>R544+#REF!+R553</f>
        <v>#REF!</v>
      </c>
      <c r="S543" s="523" t="e">
        <f>S544+#REF!+S553</f>
        <v>#REF!</v>
      </c>
      <c r="T543" s="523" t="e">
        <f>T544+#REF!+T553</f>
        <v>#REF!</v>
      </c>
      <c r="U543" s="128">
        <f>U544+U553+U555+U559</f>
        <v>322686.14</v>
      </c>
      <c r="V543" s="128">
        <f>V544+V553+V555+V559</f>
        <v>322686.14</v>
      </c>
      <c r="W543" s="128">
        <f>W544+W553+W555</f>
        <v>171400.76</v>
      </c>
      <c r="X543" s="128">
        <f>X544+X553+X555</f>
        <v>171400.76</v>
      </c>
      <c r="Y543" s="128">
        <f>Y544+Y553+Y555</f>
        <v>171400.76</v>
      </c>
      <c r="Z543" s="128">
        <f>Z544+Z553+Z555</f>
        <v>171400.76</v>
      </c>
      <c r="AE543" s="10"/>
      <c r="AN543" s="3"/>
      <c r="AO543" s="16"/>
      <c r="AP543" s="16"/>
      <c r="AQ543" s="16"/>
      <c r="AR543" s="16"/>
      <c r="AS543" s="16"/>
      <c r="AT543" s="16"/>
      <c r="AU543" s="16"/>
    </row>
    <row r="544" spans="1:47" ht="35.25" customHeight="1">
      <c r="A544" s="852" t="s">
        <v>196</v>
      </c>
      <c r="B544" s="848"/>
      <c r="C544" s="848"/>
      <c r="D544" s="848"/>
      <c r="E544" s="848"/>
      <c r="F544" s="848"/>
      <c r="G544" s="848"/>
      <c r="H544" s="848"/>
      <c r="I544" s="850"/>
      <c r="J544" s="853">
        <v>38668.71</v>
      </c>
      <c r="K544" s="854">
        <v>160000</v>
      </c>
      <c r="L544" s="827"/>
      <c r="M544" s="495" t="s">
        <v>330</v>
      </c>
      <c r="N544" s="668"/>
      <c r="O544" s="525">
        <v>5000</v>
      </c>
      <c r="P544" s="525">
        <f aca="true" t="shared" si="136" ref="P544:Z544">P545+P546+P547+P548+P549</f>
        <v>160000</v>
      </c>
      <c r="Q544" s="526">
        <f t="shared" si="136"/>
        <v>160000</v>
      </c>
      <c r="R544" s="526">
        <f t="shared" si="136"/>
        <v>80000</v>
      </c>
      <c r="S544" s="526">
        <f t="shared" si="136"/>
        <v>0</v>
      </c>
      <c r="T544" s="526">
        <f t="shared" si="136"/>
        <v>160000</v>
      </c>
      <c r="U544" s="129">
        <f t="shared" si="136"/>
        <v>160000</v>
      </c>
      <c r="V544" s="129">
        <f t="shared" si="136"/>
        <v>160000</v>
      </c>
      <c r="W544" s="129">
        <f t="shared" si="136"/>
        <v>85472</v>
      </c>
      <c r="X544" s="129">
        <f t="shared" si="136"/>
        <v>85472</v>
      </c>
      <c r="Y544" s="129">
        <f t="shared" si="136"/>
        <v>85472</v>
      </c>
      <c r="Z544" s="129">
        <f t="shared" si="136"/>
        <v>85472</v>
      </c>
      <c r="AE544" s="10"/>
      <c r="AN544" s="3"/>
      <c r="AO544" s="16"/>
      <c r="AP544" s="16"/>
      <c r="AQ544" s="16"/>
      <c r="AR544" s="16"/>
      <c r="AS544" s="16"/>
      <c r="AT544" s="16"/>
      <c r="AU544" s="16"/>
    </row>
    <row r="545" spans="1:47" ht="47.25" customHeight="1">
      <c r="A545" s="852"/>
      <c r="B545" s="848"/>
      <c r="C545" s="848"/>
      <c r="D545" s="848"/>
      <c r="E545" s="848"/>
      <c r="F545" s="848"/>
      <c r="G545" s="848"/>
      <c r="H545" s="848"/>
      <c r="I545" s="850"/>
      <c r="J545" s="853"/>
      <c r="K545" s="854"/>
      <c r="L545" s="827"/>
      <c r="M545" s="495" t="s">
        <v>392</v>
      </c>
      <c r="N545" s="668">
        <v>1</v>
      </c>
      <c r="O545" s="445">
        <v>5000</v>
      </c>
      <c r="P545" s="445">
        <f>ROUND(N545*O545*8,0)</f>
        <v>40000</v>
      </c>
      <c r="Q545" s="46">
        <v>40000</v>
      </c>
      <c r="R545" s="445"/>
      <c r="S545" s="445"/>
      <c r="T545" s="46">
        <v>40000</v>
      </c>
      <c r="U545" s="47">
        <v>40000</v>
      </c>
      <c r="V545" s="47">
        <f>U545</f>
        <v>40000</v>
      </c>
      <c r="W545" s="88">
        <v>21368</v>
      </c>
      <c r="X545" s="88">
        <f>W545</f>
        <v>21368</v>
      </c>
      <c r="Y545" s="88">
        <f>W545</f>
        <v>21368</v>
      </c>
      <c r="Z545" s="88">
        <f>Y545</f>
        <v>21368</v>
      </c>
      <c r="AE545" s="10"/>
      <c r="AN545" s="3"/>
      <c r="AO545" s="16"/>
      <c r="AP545" s="16"/>
      <c r="AQ545" s="16"/>
      <c r="AR545" s="16"/>
      <c r="AS545" s="16"/>
      <c r="AT545" s="16"/>
      <c r="AU545" s="16"/>
    </row>
    <row r="546" spans="1:47" ht="59.25" customHeight="1">
      <c r="A546" s="852"/>
      <c r="B546" s="848"/>
      <c r="C546" s="848"/>
      <c r="D546" s="848"/>
      <c r="E546" s="848"/>
      <c r="F546" s="848"/>
      <c r="G546" s="848"/>
      <c r="H546" s="848"/>
      <c r="I546" s="850"/>
      <c r="J546" s="853"/>
      <c r="K546" s="854"/>
      <c r="L546" s="827"/>
      <c r="M546" s="495" t="s">
        <v>393</v>
      </c>
      <c r="N546" s="668">
        <v>1</v>
      </c>
      <c r="O546" s="445">
        <v>5000</v>
      </c>
      <c r="P546" s="445">
        <f>ROUND(N546*O546*8,0)</f>
        <v>40000</v>
      </c>
      <c r="Q546" s="46">
        <v>40000</v>
      </c>
      <c r="R546" s="445"/>
      <c r="S546" s="445"/>
      <c r="T546" s="46">
        <v>40000</v>
      </c>
      <c r="U546" s="47">
        <v>40000</v>
      </c>
      <c r="V546" s="47">
        <f aca="true" t="shared" si="137" ref="V546:V555">U546</f>
        <v>40000</v>
      </c>
      <c r="W546" s="88">
        <v>21368</v>
      </c>
      <c r="X546" s="88">
        <f aca="true" t="shared" si="138" ref="X546:X555">W546</f>
        <v>21368</v>
      </c>
      <c r="Y546" s="88">
        <f aca="true" t="shared" si="139" ref="Y546:Y558">W546</f>
        <v>21368</v>
      </c>
      <c r="Z546" s="88">
        <f aca="true" t="shared" si="140" ref="Z546:Z555">Y546</f>
        <v>21368</v>
      </c>
      <c r="AE546" s="10"/>
      <c r="AN546" s="3"/>
      <c r="AO546" s="16"/>
      <c r="AP546" s="16"/>
      <c r="AQ546" s="16"/>
      <c r="AR546" s="16"/>
      <c r="AS546" s="16"/>
      <c r="AT546" s="16"/>
      <c r="AU546" s="16"/>
    </row>
    <row r="547" spans="1:47" ht="54.75" customHeight="1">
      <c r="A547" s="852"/>
      <c r="B547" s="848"/>
      <c r="C547" s="848"/>
      <c r="D547" s="848"/>
      <c r="E547" s="848"/>
      <c r="F547" s="848"/>
      <c r="G547" s="848"/>
      <c r="H547" s="848"/>
      <c r="I547" s="850"/>
      <c r="J547" s="853"/>
      <c r="K547" s="854"/>
      <c r="L547" s="827"/>
      <c r="M547" s="495" t="s">
        <v>394</v>
      </c>
      <c r="N547" s="668">
        <v>1</v>
      </c>
      <c r="O547" s="445">
        <v>5000</v>
      </c>
      <c r="P547" s="445">
        <f>ROUND(N547*O547*8,0)</f>
        <v>40000</v>
      </c>
      <c r="Q547" s="46">
        <v>40000</v>
      </c>
      <c r="R547" s="445"/>
      <c r="S547" s="445"/>
      <c r="T547" s="46">
        <v>40000</v>
      </c>
      <c r="U547" s="47">
        <v>40000</v>
      </c>
      <c r="V547" s="47">
        <f t="shared" si="137"/>
        <v>40000</v>
      </c>
      <c r="W547" s="88">
        <v>21368</v>
      </c>
      <c r="X547" s="88">
        <f t="shared" si="138"/>
        <v>21368</v>
      </c>
      <c r="Y547" s="88">
        <f t="shared" si="139"/>
        <v>21368</v>
      </c>
      <c r="Z547" s="88">
        <f t="shared" si="140"/>
        <v>21368</v>
      </c>
      <c r="AE547" s="10"/>
      <c r="AN547" s="3"/>
      <c r="AO547" s="16"/>
      <c r="AP547" s="16"/>
      <c r="AQ547" s="16"/>
      <c r="AR547" s="16"/>
      <c r="AS547" s="16"/>
      <c r="AT547" s="16"/>
      <c r="AU547" s="16"/>
    </row>
    <row r="548" spans="1:47" ht="48.75" customHeight="1">
      <c r="A548" s="852"/>
      <c r="B548" s="848"/>
      <c r="C548" s="848"/>
      <c r="D548" s="848"/>
      <c r="E548" s="848"/>
      <c r="F548" s="848"/>
      <c r="G548" s="848"/>
      <c r="H548" s="848"/>
      <c r="I548" s="850"/>
      <c r="J548" s="853"/>
      <c r="K548" s="854"/>
      <c r="L548" s="827"/>
      <c r="M548" s="495" t="s">
        <v>395</v>
      </c>
      <c r="N548" s="668">
        <v>1</v>
      </c>
      <c r="O548" s="445">
        <v>5000</v>
      </c>
      <c r="P548" s="445">
        <f>ROUND(N548*O548*4,0)</f>
        <v>20000</v>
      </c>
      <c r="Q548" s="46">
        <v>20000</v>
      </c>
      <c r="R548" s="445">
        <f>ROUND(N548*O548*8,0)</f>
        <v>40000</v>
      </c>
      <c r="S548" s="445"/>
      <c r="T548" s="46">
        <v>20000</v>
      </c>
      <c r="U548" s="47">
        <v>20000</v>
      </c>
      <c r="V548" s="47">
        <f t="shared" si="137"/>
        <v>20000</v>
      </c>
      <c r="W548" s="88">
        <v>10684</v>
      </c>
      <c r="X548" s="88">
        <f t="shared" si="138"/>
        <v>10684</v>
      </c>
      <c r="Y548" s="88">
        <f t="shared" si="139"/>
        <v>10684</v>
      </c>
      <c r="Z548" s="88">
        <f t="shared" si="140"/>
        <v>10684</v>
      </c>
      <c r="AE548" s="10"/>
      <c r="AN548" s="3"/>
      <c r="AO548" s="16"/>
      <c r="AP548" s="16"/>
      <c r="AQ548" s="16"/>
      <c r="AR548" s="16"/>
      <c r="AS548" s="16"/>
      <c r="AT548" s="16"/>
      <c r="AU548" s="16"/>
    </row>
    <row r="549" spans="1:47" ht="58.5" customHeight="1">
      <c r="A549" s="852"/>
      <c r="B549" s="848"/>
      <c r="C549" s="848"/>
      <c r="D549" s="848"/>
      <c r="E549" s="848"/>
      <c r="F549" s="848"/>
      <c r="G549" s="848"/>
      <c r="H549" s="848"/>
      <c r="I549" s="850"/>
      <c r="J549" s="853"/>
      <c r="K549" s="854"/>
      <c r="L549" s="827"/>
      <c r="M549" s="495" t="s">
        <v>396</v>
      </c>
      <c r="N549" s="668">
        <v>1</v>
      </c>
      <c r="O549" s="445">
        <v>5000</v>
      </c>
      <c r="P549" s="445">
        <f>ROUND(N549*O549*4,0)</f>
        <v>20000</v>
      </c>
      <c r="Q549" s="46">
        <v>20000</v>
      </c>
      <c r="R549" s="445">
        <f>ROUND(N549*O549*8,0)</f>
        <v>40000</v>
      </c>
      <c r="S549" s="445"/>
      <c r="T549" s="46">
        <v>20000</v>
      </c>
      <c r="U549" s="47">
        <v>20000</v>
      </c>
      <c r="V549" s="47">
        <f t="shared" si="137"/>
        <v>20000</v>
      </c>
      <c r="W549" s="88">
        <v>10684</v>
      </c>
      <c r="X549" s="88">
        <f t="shared" si="138"/>
        <v>10684</v>
      </c>
      <c r="Y549" s="88">
        <f t="shared" si="139"/>
        <v>10684</v>
      </c>
      <c r="Z549" s="88">
        <f t="shared" si="140"/>
        <v>10684</v>
      </c>
      <c r="AE549" s="10"/>
      <c r="AN549" s="3"/>
      <c r="AO549" s="16"/>
      <c r="AP549" s="16"/>
      <c r="AQ549" s="16"/>
      <c r="AR549" s="16"/>
      <c r="AS549" s="16"/>
      <c r="AT549" s="16"/>
      <c r="AU549" s="16"/>
    </row>
    <row r="550" spans="1:47" ht="101.25" hidden="1">
      <c r="A550" s="466" t="s">
        <v>397</v>
      </c>
      <c r="B550" s="848"/>
      <c r="C550" s="848"/>
      <c r="D550" s="848"/>
      <c r="E550" s="848"/>
      <c r="F550" s="848"/>
      <c r="G550" s="848"/>
      <c r="H550" s="848"/>
      <c r="I550" s="850"/>
      <c r="J550" s="481">
        <v>20000</v>
      </c>
      <c r="K550" s="524"/>
      <c r="L550" s="827"/>
      <c r="M550" s="495"/>
      <c r="N550" s="668"/>
      <c r="O550" s="445"/>
      <c r="P550" s="445"/>
      <c r="Q550" s="46"/>
      <c r="R550" s="445"/>
      <c r="S550" s="445"/>
      <c r="T550" s="46"/>
      <c r="U550" s="47"/>
      <c r="V550" s="47">
        <f t="shared" si="137"/>
        <v>0</v>
      </c>
      <c r="W550" s="88"/>
      <c r="X550" s="88">
        <f t="shared" si="138"/>
        <v>0</v>
      </c>
      <c r="Y550" s="88">
        <f t="shared" si="139"/>
        <v>0</v>
      </c>
      <c r="Z550" s="88">
        <f t="shared" si="140"/>
        <v>0</v>
      </c>
      <c r="AE550" s="10"/>
      <c r="AN550" s="3"/>
      <c r="AO550" s="16"/>
      <c r="AP550" s="16"/>
      <c r="AQ550" s="16"/>
      <c r="AR550" s="16"/>
      <c r="AS550" s="16"/>
      <c r="AT550" s="16"/>
      <c r="AU550" s="16"/>
    </row>
    <row r="551" spans="1:47" ht="101.25" hidden="1">
      <c r="A551" s="466" t="s">
        <v>398</v>
      </c>
      <c r="B551" s="848"/>
      <c r="C551" s="848"/>
      <c r="D551" s="848"/>
      <c r="E551" s="848"/>
      <c r="F551" s="848"/>
      <c r="G551" s="848"/>
      <c r="H551" s="848"/>
      <c r="I551" s="850"/>
      <c r="J551" s="481">
        <v>45000</v>
      </c>
      <c r="K551" s="524"/>
      <c r="L551" s="827"/>
      <c r="M551" s="495"/>
      <c r="N551" s="668"/>
      <c r="O551" s="445"/>
      <c r="P551" s="445"/>
      <c r="Q551" s="46"/>
      <c r="R551" s="445"/>
      <c r="S551" s="445"/>
      <c r="T551" s="46"/>
      <c r="U551" s="47"/>
      <c r="V551" s="47">
        <f t="shared" si="137"/>
        <v>0</v>
      </c>
      <c r="W551" s="88"/>
      <c r="X551" s="88">
        <f t="shared" si="138"/>
        <v>0</v>
      </c>
      <c r="Y551" s="88">
        <f t="shared" si="139"/>
        <v>0</v>
      </c>
      <c r="Z551" s="88">
        <f t="shared" si="140"/>
        <v>0</v>
      </c>
      <c r="AE551" s="10"/>
      <c r="AN551" s="3"/>
      <c r="AO551" s="16"/>
      <c r="AP551" s="16"/>
      <c r="AQ551" s="16"/>
      <c r="AR551" s="16"/>
      <c r="AS551" s="16"/>
      <c r="AT551" s="16"/>
      <c r="AU551" s="16"/>
    </row>
    <row r="552" spans="1:47" ht="101.25" hidden="1">
      <c r="A552" s="466" t="s">
        <v>197</v>
      </c>
      <c r="B552" s="848"/>
      <c r="C552" s="848"/>
      <c r="D552" s="848"/>
      <c r="E552" s="848"/>
      <c r="F552" s="848"/>
      <c r="G552" s="848"/>
      <c r="H552" s="848"/>
      <c r="I552" s="850"/>
      <c r="J552" s="519">
        <v>0</v>
      </c>
      <c r="K552" s="527">
        <v>40000</v>
      </c>
      <c r="L552" s="827"/>
      <c r="M552" s="528"/>
      <c r="N552" s="668">
        <v>0</v>
      </c>
      <c r="O552" s="445">
        <v>0</v>
      </c>
      <c r="P552" s="445">
        <v>0</v>
      </c>
      <c r="Q552" s="445">
        <v>0</v>
      </c>
      <c r="R552" s="445">
        <v>0</v>
      </c>
      <c r="S552" s="445">
        <v>0</v>
      </c>
      <c r="T552" s="445">
        <v>0</v>
      </c>
      <c r="U552" s="90">
        <v>0</v>
      </c>
      <c r="V552" s="47">
        <f t="shared" si="137"/>
        <v>0</v>
      </c>
      <c r="W552" s="88"/>
      <c r="X552" s="88">
        <f t="shared" si="138"/>
        <v>0</v>
      </c>
      <c r="Y552" s="88">
        <f t="shared" si="139"/>
        <v>0</v>
      </c>
      <c r="Z552" s="88">
        <f t="shared" si="140"/>
        <v>0</v>
      </c>
      <c r="AE552" s="10"/>
      <c r="AN552" s="3"/>
      <c r="AO552" s="16"/>
      <c r="AP552" s="16"/>
      <c r="AQ552" s="16"/>
      <c r="AR552" s="16"/>
      <c r="AS552" s="16"/>
      <c r="AT552" s="16"/>
      <c r="AU552" s="16"/>
    </row>
    <row r="553" spans="1:47" ht="97.5" customHeight="1">
      <c r="A553" s="466" t="s">
        <v>198</v>
      </c>
      <c r="B553" s="848"/>
      <c r="C553" s="848"/>
      <c r="D553" s="848"/>
      <c r="E553" s="848"/>
      <c r="F553" s="848"/>
      <c r="G553" s="848"/>
      <c r="H553" s="848"/>
      <c r="I553" s="850"/>
      <c r="J553" s="481">
        <v>60000</v>
      </c>
      <c r="K553" s="527">
        <v>80000</v>
      </c>
      <c r="L553" s="827"/>
      <c r="M553" s="495" t="s">
        <v>702</v>
      </c>
      <c r="N553" s="668">
        <v>1</v>
      </c>
      <c r="O553" s="445">
        <v>5000</v>
      </c>
      <c r="P553" s="445">
        <v>60000</v>
      </c>
      <c r="Q553" s="445">
        <v>60000</v>
      </c>
      <c r="R553" s="445">
        <v>60000</v>
      </c>
      <c r="S553" s="445">
        <v>60000</v>
      </c>
      <c r="T553" s="445">
        <v>60000</v>
      </c>
      <c r="U553" s="90">
        <v>60000</v>
      </c>
      <c r="V553" s="47">
        <f t="shared" si="137"/>
        <v>60000</v>
      </c>
      <c r="W553" s="88">
        <v>32052</v>
      </c>
      <c r="X553" s="88">
        <f t="shared" si="138"/>
        <v>32052</v>
      </c>
      <c r="Y553" s="88">
        <f t="shared" si="139"/>
        <v>32052</v>
      </c>
      <c r="Z553" s="88">
        <f t="shared" si="140"/>
        <v>32052</v>
      </c>
      <c r="AE553" s="10"/>
      <c r="AN553" s="3"/>
      <c r="AO553" s="16"/>
      <c r="AP553" s="16"/>
      <c r="AQ553" s="16"/>
      <c r="AR553" s="16"/>
      <c r="AS553" s="16"/>
      <c r="AT553" s="16"/>
      <c r="AU553" s="16"/>
    </row>
    <row r="554" spans="1:47" ht="101.25" hidden="1">
      <c r="A554" s="154" t="s">
        <v>199</v>
      </c>
      <c r="B554" s="848"/>
      <c r="C554" s="848"/>
      <c r="D554" s="848"/>
      <c r="E554" s="848"/>
      <c r="F554" s="848"/>
      <c r="G554" s="848"/>
      <c r="H554" s="848"/>
      <c r="I554" s="850"/>
      <c r="J554" s="445">
        <v>40000</v>
      </c>
      <c r="K554" s="445">
        <v>40000</v>
      </c>
      <c r="L554" s="827"/>
      <c r="M554" s="528">
        <v>0</v>
      </c>
      <c r="N554" s="668">
        <v>0</v>
      </c>
      <c r="O554" s="445">
        <v>0</v>
      </c>
      <c r="P554" s="445">
        <v>0</v>
      </c>
      <c r="Q554" s="445">
        <v>0</v>
      </c>
      <c r="R554" s="445">
        <v>0</v>
      </c>
      <c r="S554" s="445">
        <v>0</v>
      </c>
      <c r="T554" s="445">
        <v>0</v>
      </c>
      <c r="U554" s="90">
        <v>0</v>
      </c>
      <c r="V554" s="47">
        <f t="shared" si="137"/>
        <v>0</v>
      </c>
      <c r="W554" s="17"/>
      <c r="X554" s="88">
        <f t="shared" si="138"/>
        <v>0</v>
      </c>
      <c r="Y554" s="88">
        <f t="shared" si="139"/>
        <v>0</v>
      </c>
      <c r="Z554" s="88">
        <f t="shared" si="140"/>
        <v>0</v>
      </c>
      <c r="AE554" s="10"/>
      <c r="AN554" s="3"/>
      <c r="AO554" s="16"/>
      <c r="AP554" s="16"/>
      <c r="AQ554" s="16"/>
      <c r="AR554" s="16"/>
      <c r="AS554" s="16"/>
      <c r="AT554" s="16"/>
      <c r="AU554" s="16"/>
    </row>
    <row r="555" spans="1:47" ht="99" customHeight="1">
      <c r="A555" s="154" t="s">
        <v>142</v>
      </c>
      <c r="B555" s="848"/>
      <c r="C555" s="848"/>
      <c r="D555" s="848"/>
      <c r="E555" s="848"/>
      <c r="F555" s="848"/>
      <c r="G555" s="848"/>
      <c r="H555" s="848"/>
      <c r="I555" s="850"/>
      <c r="J555" s="853"/>
      <c r="K555" s="854"/>
      <c r="L555" s="827"/>
      <c r="M555" s="495" t="s">
        <v>389</v>
      </c>
      <c r="N555" s="668">
        <v>4</v>
      </c>
      <c r="O555" s="445">
        <v>5000</v>
      </c>
      <c r="P555" s="445">
        <f>ROUND(N555*O555*4,0)</f>
        <v>80000</v>
      </c>
      <c r="Q555" s="445">
        <v>80000</v>
      </c>
      <c r="R555" s="445"/>
      <c r="S555" s="445"/>
      <c r="T555" s="445">
        <v>80000</v>
      </c>
      <c r="U555" s="90">
        <v>80000</v>
      </c>
      <c r="V555" s="47">
        <f t="shared" si="137"/>
        <v>80000</v>
      </c>
      <c r="W555" s="88">
        <v>53876.76</v>
      </c>
      <c r="X555" s="88">
        <f t="shared" si="138"/>
        <v>53876.76</v>
      </c>
      <c r="Y555" s="88">
        <f t="shared" si="139"/>
        <v>53876.76</v>
      </c>
      <c r="Z555" s="88">
        <f t="shared" si="140"/>
        <v>53876.76</v>
      </c>
      <c r="AE555" s="10"/>
      <c r="AN555" s="3"/>
      <c r="AO555" s="16"/>
      <c r="AP555" s="16"/>
      <c r="AQ555" s="16"/>
      <c r="AR555" s="16"/>
      <c r="AS555" s="16"/>
      <c r="AT555" s="16"/>
      <c r="AU555" s="16"/>
    </row>
    <row r="556" spans="1:47" ht="101.25" hidden="1">
      <c r="A556" s="154"/>
      <c r="B556" s="848"/>
      <c r="C556" s="848"/>
      <c r="D556" s="848"/>
      <c r="E556" s="848"/>
      <c r="F556" s="848"/>
      <c r="G556" s="848"/>
      <c r="H556" s="848"/>
      <c r="I556" s="850"/>
      <c r="J556" s="853"/>
      <c r="K556" s="854"/>
      <c r="L556" s="827"/>
      <c r="M556" s="495" t="s">
        <v>388</v>
      </c>
      <c r="N556" s="668">
        <v>4.3</v>
      </c>
      <c r="O556" s="445">
        <v>5000</v>
      </c>
      <c r="P556" s="445"/>
      <c r="Q556" s="445"/>
      <c r="R556" s="445">
        <f>ROUND(N556*O556*12,0)</f>
        <v>258000</v>
      </c>
      <c r="S556" s="445"/>
      <c r="T556" s="445"/>
      <c r="U556" s="90"/>
      <c r="V556" s="90"/>
      <c r="W556" s="88"/>
      <c r="X556" s="88"/>
      <c r="Y556" s="88">
        <f t="shared" si="139"/>
        <v>0</v>
      </c>
      <c r="Z556" s="88"/>
      <c r="AE556" s="10"/>
      <c r="AN556" s="3"/>
      <c r="AO556" s="16"/>
      <c r="AP556" s="16"/>
      <c r="AQ556" s="16"/>
      <c r="AR556" s="16"/>
      <c r="AS556" s="16"/>
      <c r="AT556" s="16"/>
      <c r="AU556" s="16"/>
    </row>
    <row r="557" spans="1:47" ht="101.25" hidden="1">
      <c r="A557" s="154"/>
      <c r="B557" s="848"/>
      <c r="C557" s="848"/>
      <c r="D557" s="848"/>
      <c r="E557" s="848"/>
      <c r="F557" s="848"/>
      <c r="G557" s="848"/>
      <c r="H557" s="848"/>
      <c r="I557" s="850"/>
      <c r="J557" s="853"/>
      <c r="K557" s="854"/>
      <c r="L557" s="827"/>
      <c r="M557" s="495" t="s">
        <v>390</v>
      </c>
      <c r="N557" s="668">
        <v>3.3</v>
      </c>
      <c r="O557" s="445">
        <v>5000</v>
      </c>
      <c r="P557" s="445"/>
      <c r="Q557" s="445"/>
      <c r="R557" s="445"/>
      <c r="S557" s="445">
        <f>ROUND(N557*O557*12,0)</f>
        <v>198000</v>
      </c>
      <c r="T557" s="445"/>
      <c r="U557" s="90"/>
      <c r="V557" s="90"/>
      <c r="W557" s="88"/>
      <c r="X557" s="88"/>
      <c r="Y557" s="88">
        <f t="shared" si="139"/>
        <v>0</v>
      </c>
      <c r="Z557" s="88"/>
      <c r="AE557" s="10"/>
      <c r="AN557" s="3"/>
      <c r="AO557" s="16"/>
      <c r="AP557" s="16"/>
      <c r="AQ557" s="16"/>
      <c r="AR557" s="16"/>
      <c r="AS557" s="16"/>
      <c r="AT557" s="16"/>
      <c r="AU557" s="16"/>
    </row>
    <row r="558" spans="1:47" ht="81" hidden="1">
      <c r="A558" s="517" t="s">
        <v>59</v>
      </c>
      <c r="B558" s="848"/>
      <c r="C558" s="848"/>
      <c r="D558" s="848"/>
      <c r="E558" s="848"/>
      <c r="F558" s="848"/>
      <c r="G558" s="848"/>
      <c r="H558" s="848"/>
      <c r="I558" s="850"/>
      <c r="J558" s="519"/>
      <c r="K558" s="510">
        <v>360000</v>
      </c>
      <c r="L558" s="827"/>
      <c r="M558" s="442"/>
      <c r="N558" s="669"/>
      <c r="O558" s="443"/>
      <c r="P558" s="443"/>
      <c r="Q558" s="45"/>
      <c r="R558" s="445"/>
      <c r="S558" s="445"/>
      <c r="T558" s="46"/>
      <c r="U558" s="47"/>
      <c r="V558" s="47"/>
      <c r="W558" s="88"/>
      <c r="X558" s="88"/>
      <c r="Y558" s="88">
        <f t="shared" si="139"/>
        <v>0</v>
      </c>
      <c r="Z558" s="88"/>
      <c r="AE558" s="10"/>
      <c r="AN558" s="3"/>
      <c r="AO558" s="16"/>
      <c r="AP558" s="16"/>
      <c r="AQ558" s="16"/>
      <c r="AR558" s="16"/>
      <c r="AS558" s="16"/>
      <c r="AT558" s="16"/>
      <c r="AU558" s="16"/>
    </row>
    <row r="559" spans="1:47" ht="51" customHeight="1">
      <c r="A559" s="517" t="s">
        <v>44</v>
      </c>
      <c r="B559" s="164"/>
      <c r="C559" s="164"/>
      <c r="D559" s="164"/>
      <c r="E559" s="164"/>
      <c r="F559" s="164"/>
      <c r="G559" s="164"/>
      <c r="H559" s="164"/>
      <c r="I559" s="186"/>
      <c r="J559" s="519"/>
      <c r="K559" s="510"/>
      <c r="L559" s="222"/>
      <c r="M559" s="442"/>
      <c r="N559" s="669"/>
      <c r="O559" s="443"/>
      <c r="P559" s="443"/>
      <c r="Q559" s="45"/>
      <c r="R559" s="445"/>
      <c r="S559" s="445"/>
      <c r="T559" s="46"/>
      <c r="U559" s="47">
        <v>22686.14</v>
      </c>
      <c r="V559" s="47">
        <v>22686.14</v>
      </c>
      <c r="W559" s="88">
        <v>0</v>
      </c>
      <c r="X559" s="88">
        <v>0</v>
      </c>
      <c r="Y559" s="88">
        <v>0</v>
      </c>
      <c r="Z559" s="88">
        <v>0</v>
      </c>
      <c r="AE559" s="10"/>
      <c r="AN559" s="3"/>
      <c r="AO559" s="16"/>
      <c r="AP559" s="16"/>
      <c r="AQ559" s="16"/>
      <c r="AR559" s="16"/>
      <c r="AS559" s="16"/>
      <c r="AT559" s="16"/>
      <c r="AU559" s="16"/>
    </row>
    <row r="560" spans="1:47" ht="231" customHeight="1">
      <c r="A560" s="378" t="s">
        <v>692</v>
      </c>
      <c r="B560" s="688" t="s">
        <v>6</v>
      </c>
      <c r="C560" s="688" t="s">
        <v>7</v>
      </c>
      <c r="D560" s="688" t="s">
        <v>201</v>
      </c>
      <c r="E560" s="688" t="s">
        <v>8</v>
      </c>
      <c r="F560" s="688" t="s">
        <v>141</v>
      </c>
      <c r="G560" s="688" t="s">
        <v>500</v>
      </c>
      <c r="H560" s="688" t="s">
        <v>9</v>
      </c>
      <c r="I560" s="216" t="s">
        <v>202</v>
      </c>
      <c r="J560" s="419">
        <f>SUM(J561:J586)</f>
        <v>17599923.92</v>
      </c>
      <c r="K560" s="419">
        <f>SUM(K561:K586)</f>
        <v>14668707.75</v>
      </c>
      <c r="L560" s="529"/>
      <c r="M560" s="530"/>
      <c r="N560" s="670">
        <f aca="true" t="shared" si="141" ref="N560:S560">SUM(N561:N586)</f>
        <v>2083</v>
      </c>
      <c r="O560" s="419"/>
      <c r="P560" s="419">
        <f t="shared" si="141"/>
        <v>20074894</v>
      </c>
      <c r="Q560" s="419">
        <f t="shared" si="141"/>
        <v>20074894</v>
      </c>
      <c r="R560" s="419">
        <f>SUM(R561:R586)</f>
        <v>20074894</v>
      </c>
      <c r="S560" s="419">
        <f t="shared" si="141"/>
        <v>20074894</v>
      </c>
      <c r="T560" s="419">
        <f aca="true" t="shared" si="142" ref="T560:Z560">SUM(T561:T586)</f>
        <v>6691631</v>
      </c>
      <c r="U560" s="94">
        <f t="shared" si="142"/>
        <v>10037447</v>
      </c>
      <c r="V560" s="94">
        <f t="shared" si="142"/>
        <v>10037447</v>
      </c>
      <c r="W560" s="94">
        <f t="shared" si="142"/>
        <v>0</v>
      </c>
      <c r="X560" s="94">
        <f t="shared" si="142"/>
        <v>0</v>
      </c>
      <c r="Y560" s="94">
        <f t="shared" si="142"/>
        <v>0</v>
      </c>
      <c r="Z560" s="94">
        <f t="shared" si="142"/>
        <v>0</v>
      </c>
      <c r="AE560" s="10"/>
      <c r="AN560" s="3"/>
      <c r="AO560" s="16"/>
      <c r="AP560" s="16"/>
      <c r="AQ560" s="16"/>
      <c r="AR560" s="16"/>
      <c r="AS560" s="16"/>
      <c r="AT560" s="16"/>
      <c r="AU560" s="16"/>
    </row>
    <row r="561" spans="1:47" ht="39" customHeight="1">
      <c r="A561" s="531" t="s">
        <v>104</v>
      </c>
      <c r="B561" s="842"/>
      <c r="C561" s="842"/>
      <c r="D561" s="842"/>
      <c r="E561" s="842"/>
      <c r="F561" s="842"/>
      <c r="G561" s="842"/>
      <c r="H561" s="842"/>
      <c r="I561" s="846" t="s">
        <v>695</v>
      </c>
      <c r="J561" s="126">
        <f>1316129+3</f>
        <v>1316132</v>
      </c>
      <c r="K561" s="90">
        <v>1122883</v>
      </c>
      <c r="L561" s="361">
        <v>212</v>
      </c>
      <c r="M561" s="532"/>
      <c r="N561" s="671">
        <v>180</v>
      </c>
      <c r="O561" s="90">
        <v>738.58</v>
      </c>
      <c r="P561" s="90">
        <v>1595340</v>
      </c>
      <c r="Q561" s="90">
        <v>1595340</v>
      </c>
      <c r="R561" s="90">
        <v>1595340</v>
      </c>
      <c r="S561" s="90">
        <v>1595340</v>
      </c>
      <c r="T561" s="47">
        <v>531780</v>
      </c>
      <c r="U561" s="47">
        <v>797670</v>
      </c>
      <c r="V561" s="47">
        <f>U561</f>
        <v>797670</v>
      </c>
      <c r="W561" s="47">
        <v>0</v>
      </c>
      <c r="X561" s="47">
        <f>W561</f>
        <v>0</v>
      </c>
      <c r="Y561" s="47">
        <v>0</v>
      </c>
      <c r="Z561" s="88">
        <f>Y561</f>
        <v>0</v>
      </c>
      <c r="AE561" s="10"/>
      <c r="AN561" s="3"/>
      <c r="AO561" s="16"/>
      <c r="AP561" s="16"/>
      <c r="AQ561" s="16"/>
      <c r="AR561" s="16"/>
      <c r="AS561" s="16"/>
      <c r="AT561" s="16"/>
      <c r="AU561" s="16"/>
    </row>
    <row r="562" spans="1:47" ht="109.5" customHeight="1">
      <c r="A562" s="533" t="s">
        <v>203</v>
      </c>
      <c r="B562" s="842"/>
      <c r="C562" s="842"/>
      <c r="D562" s="842"/>
      <c r="E562" s="842"/>
      <c r="F562" s="842"/>
      <c r="G562" s="842"/>
      <c r="H562" s="842"/>
      <c r="I562" s="847"/>
      <c r="J562" s="126">
        <v>58259.93</v>
      </c>
      <c r="K562" s="90">
        <v>41641</v>
      </c>
      <c r="L562" s="534">
        <v>212</v>
      </c>
      <c r="M562" s="384"/>
      <c r="N562" s="671">
        <v>6</v>
      </c>
      <c r="O562" s="90">
        <v>771.03</v>
      </c>
      <c r="P562" s="90">
        <v>55515</v>
      </c>
      <c r="Q562" s="90">
        <v>55515</v>
      </c>
      <c r="R562" s="90">
        <v>55515</v>
      </c>
      <c r="S562" s="90">
        <v>55515</v>
      </c>
      <c r="T562" s="47">
        <v>18505</v>
      </c>
      <c r="U562" s="47">
        <v>27757</v>
      </c>
      <c r="V562" s="47">
        <f aca="true" t="shared" si="143" ref="V562:V586">U562</f>
        <v>27757</v>
      </c>
      <c r="W562" s="47">
        <v>0</v>
      </c>
      <c r="X562" s="47">
        <f aca="true" t="shared" si="144" ref="X562:X586">W562</f>
        <v>0</v>
      </c>
      <c r="Y562" s="47">
        <v>0</v>
      </c>
      <c r="Z562" s="88">
        <f aca="true" t="shared" si="145" ref="Z562:Z586">Y562</f>
        <v>0</v>
      </c>
      <c r="AE562" s="10"/>
      <c r="AN562" s="3"/>
      <c r="AO562" s="16"/>
      <c r="AP562" s="16"/>
      <c r="AQ562" s="16"/>
      <c r="AR562" s="16"/>
      <c r="AS562" s="16"/>
      <c r="AT562" s="16"/>
      <c r="AU562" s="16"/>
    </row>
    <row r="563" spans="1:47" ht="47.25" customHeight="1">
      <c r="A563" s="533" t="s">
        <v>25</v>
      </c>
      <c r="B563" s="842"/>
      <c r="C563" s="842"/>
      <c r="D563" s="842"/>
      <c r="E563" s="842"/>
      <c r="F563" s="842"/>
      <c r="G563" s="842"/>
      <c r="H563" s="842"/>
      <c r="I563" s="847"/>
      <c r="J563" s="126">
        <v>171200</v>
      </c>
      <c r="K563" s="90">
        <v>132707</v>
      </c>
      <c r="L563" s="361">
        <v>212</v>
      </c>
      <c r="M563" s="532"/>
      <c r="N563" s="672">
        <v>20</v>
      </c>
      <c r="O563" s="421">
        <v>754.2</v>
      </c>
      <c r="P563" s="421">
        <v>181020</v>
      </c>
      <c r="Q563" s="421">
        <v>181020</v>
      </c>
      <c r="R563" s="421">
        <v>181020</v>
      </c>
      <c r="S563" s="421">
        <v>181020</v>
      </c>
      <c r="T563" s="47">
        <v>60340</v>
      </c>
      <c r="U563" s="47">
        <v>90510</v>
      </c>
      <c r="V563" s="47">
        <f t="shared" si="143"/>
        <v>90510</v>
      </c>
      <c r="W563" s="47">
        <v>0</v>
      </c>
      <c r="X563" s="47">
        <f t="shared" si="144"/>
        <v>0</v>
      </c>
      <c r="Y563" s="47">
        <v>0</v>
      </c>
      <c r="Z563" s="88">
        <f t="shared" si="145"/>
        <v>0</v>
      </c>
      <c r="AE563" s="10"/>
      <c r="AN563" s="3"/>
      <c r="AO563" s="16"/>
      <c r="AP563" s="16"/>
      <c r="AQ563" s="16"/>
      <c r="AR563" s="16"/>
      <c r="AS563" s="16"/>
      <c r="AT563" s="16"/>
      <c r="AU563" s="16"/>
    </row>
    <row r="564" spans="1:47" ht="48.75" customHeight="1">
      <c r="A564" s="533" t="s">
        <v>26</v>
      </c>
      <c r="B564" s="842"/>
      <c r="C564" s="842"/>
      <c r="D564" s="842"/>
      <c r="E564" s="842"/>
      <c r="F564" s="842"/>
      <c r="G564" s="842"/>
      <c r="H564" s="842"/>
      <c r="I564" s="847"/>
      <c r="J564" s="126">
        <v>1313303.76</v>
      </c>
      <c r="K564" s="90">
        <v>1180000</v>
      </c>
      <c r="L564" s="361">
        <v>212</v>
      </c>
      <c r="M564" s="535"/>
      <c r="N564" s="671">
        <v>175</v>
      </c>
      <c r="O564" s="90">
        <v>866</v>
      </c>
      <c r="P564" s="90">
        <v>1818606</v>
      </c>
      <c r="Q564" s="90">
        <v>1818606</v>
      </c>
      <c r="R564" s="90">
        <v>1818606</v>
      </c>
      <c r="S564" s="90">
        <v>1818606</v>
      </c>
      <c r="T564" s="47">
        <v>606202</v>
      </c>
      <c r="U564" s="47">
        <v>909303</v>
      </c>
      <c r="V564" s="47">
        <f t="shared" si="143"/>
        <v>909303</v>
      </c>
      <c r="W564" s="47">
        <v>0</v>
      </c>
      <c r="X564" s="47">
        <f t="shared" si="144"/>
        <v>0</v>
      </c>
      <c r="Y564" s="47">
        <v>0</v>
      </c>
      <c r="Z564" s="88">
        <f t="shared" si="145"/>
        <v>0</v>
      </c>
      <c r="AE564" s="10"/>
      <c r="AN564" s="3"/>
      <c r="AO564" s="16"/>
      <c r="AP564" s="16"/>
      <c r="AQ564" s="16"/>
      <c r="AR564" s="16"/>
      <c r="AS564" s="16"/>
      <c r="AT564" s="16"/>
      <c r="AU564" s="16"/>
    </row>
    <row r="565" spans="1:47" ht="66" customHeight="1">
      <c r="A565" s="533" t="s">
        <v>27</v>
      </c>
      <c r="B565" s="842"/>
      <c r="C565" s="842"/>
      <c r="D565" s="842"/>
      <c r="E565" s="842"/>
      <c r="F565" s="842"/>
      <c r="G565" s="842"/>
      <c r="H565" s="842"/>
      <c r="I565" s="847"/>
      <c r="J565" s="54">
        <v>980686</v>
      </c>
      <c r="K565" s="90">
        <v>776225</v>
      </c>
      <c r="L565" s="361">
        <v>212</v>
      </c>
      <c r="M565" s="532"/>
      <c r="N565" s="671">
        <v>112</v>
      </c>
      <c r="O565" s="90">
        <v>788.9</v>
      </c>
      <c r="P565" s="90">
        <v>1060282</v>
      </c>
      <c r="Q565" s="90">
        <v>1060282</v>
      </c>
      <c r="R565" s="90">
        <v>1060282</v>
      </c>
      <c r="S565" s="90">
        <v>1060282</v>
      </c>
      <c r="T565" s="47">
        <v>353427</v>
      </c>
      <c r="U565" s="47">
        <v>530141</v>
      </c>
      <c r="V565" s="47">
        <f t="shared" si="143"/>
        <v>530141</v>
      </c>
      <c r="W565" s="47">
        <v>0</v>
      </c>
      <c r="X565" s="47">
        <f t="shared" si="144"/>
        <v>0</v>
      </c>
      <c r="Y565" s="47">
        <v>0</v>
      </c>
      <c r="Z565" s="88">
        <f t="shared" si="145"/>
        <v>0</v>
      </c>
      <c r="AE565" s="10"/>
      <c r="AN565" s="3"/>
      <c r="AO565" s="16"/>
      <c r="AP565" s="16"/>
      <c r="AQ565" s="16"/>
      <c r="AR565" s="16"/>
      <c r="AS565" s="16"/>
      <c r="AT565" s="16"/>
      <c r="AU565" s="16"/>
    </row>
    <row r="566" spans="1:47" ht="53.25" customHeight="1">
      <c r="A566" s="533" t="s">
        <v>28</v>
      </c>
      <c r="B566" s="842"/>
      <c r="C566" s="842"/>
      <c r="D566" s="842"/>
      <c r="E566" s="842"/>
      <c r="F566" s="842"/>
      <c r="G566" s="842"/>
      <c r="H566" s="842"/>
      <c r="I566" s="847"/>
      <c r="J566" s="126">
        <v>159726</v>
      </c>
      <c r="K566" s="90">
        <v>119344</v>
      </c>
      <c r="L566" s="361">
        <v>212</v>
      </c>
      <c r="M566" s="384"/>
      <c r="N566" s="671">
        <v>16</v>
      </c>
      <c r="O566" s="90">
        <v>754.25</v>
      </c>
      <c r="P566" s="90">
        <v>144816</v>
      </c>
      <c r="Q566" s="90">
        <v>144816</v>
      </c>
      <c r="R566" s="90">
        <v>144816</v>
      </c>
      <c r="S566" s="90">
        <v>144816</v>
      </c>
      <c r="T566" s="47">
        <v>48272</v>
      </c>
      <c r="U566" s="47">
        <v>72408</v>
      </c>
      <c r="V566" s="47">
        <f t="shared" si="143"/>
        <v>72408</v>
      </c>
      <c r="W566" s="47">
        <v>0</v>
      </c>
      <c r="X566" s="47">
        <f t="shared" si="144"/>
        <v>0</v>
      </c>
      <c r="Y566" s="47">
        <v>0</v>
      </c>
      <c r="Z566" s="88">
        <f t="shared" si="145"/>
        <v>0</v>
      </c>
      <c r="AE566" s="10"/>
      <c r="AN566" s="3"/>
      <c r="AO566" s="16"/>
      <c r="AP566" s="16"/>
      <c r="AQ566" s="16"/>
      <c r="AR566" s="16"/>
      <c r="AS566" s="16"/>
      <c r="AT566" s="16"/>
      <c r="AU566" s="16"/>
    </row>
    <row r="567" spans="1:47" ht="45.75" customHeight="1">
      <c r="A567" s="533" t="s">
        <v>29</v>
      </c>
      <c r="B567" s="842"/>
      <c r="C567" s="842"/>
      <c r="D567" s="842"/>
      <c r="E567" s="842"/>
      <c r="F567" s="842"/>
      <c r="G567" s="842"/>
      <c r="H567" s="842"/>
      <c r="I567" s="847"/>
      <c r="J567" s="126">
        <v>780040</v>
      </c>
      <c r="K567" s="90">
        <v>587132</v>
      </c>
      <c r="L567" s="361">
        <v>212</v>
      </c>
      <c r="M567" s="532"/>
      <c r="N567" s="671">
        <v>98</v>
      </c>
      <c r="O567" s="90">
        <v>750.32</v>
      </c>
      <c r="P567" s="90">
        <v>882374</v>
      </c>
      <c r="Q567" s="90">
        <v>882374</v>
      </c>
      <c r="R567" s="90">
        <v>882374</v>
      </c>
      <c r="S567" s="90">
        <v>882374</v>
      </c>
      <c r="T567" s="47">
        <v>294125</v>
      </c>
      <c r="U567" s="47">
        <v>441187</v>
      </c>
      <c r="V567" s="47">
        <f t="shared" si="143"/>
        <v>441187</v>
      </c>
      <c r="W567" s="47">
        <v>0</v>
      </c>
      <c r="X567" s="47">
        <f t="shared" si="144"/>
        <v>0</v>
      </c>
      <c r="Y567" s="47">
        <v>0</v>
      </c>
      <c r="Z567" s="88">
        <f t="shared" si="145"/>
        <v>0</v>
      </c>
      <c r="AE567" s="10"/>
      <c r="AN567" s="3"/>
      <c r="AO567" s="16"/>
      <c r="AP567" s="16"/>
      <c r="AQ567" s="16"/>
      <c r="AR567" s="16"/>
      <c r="AS567" s="16"/>
      <c r="AT567" s="16"/>
      <c r="AU567" s="16"/>
    </row>
    <row r="568" spans="1:47" ht="60.75">
      <c r="A568" s="533" t="s">
        <v>30</v>
      </c>
      <c r="B568" s="842"/>
      <c r="C568" s="842"/>
      <c r="D568" s="842"/>
      <c r="E568" s="842"/>
      <c r="F568" s="842"/>
      <c r="G568" s="842"/>
      <c r="H568" s="842"/>
      <c r="I568" s="847"/>
      <c r="J568" s="90">
        <v>1102464.98</v>
      </c>
      <c r="K568" s="90">
        <v>927051</v>
      </c>
      <c r="L568" s="361">
        <v>212</v>
      </c>
      <c r="M568" s="532"/>
      <c r="N568" s="671">
        <v>134</v>
      </c>
      <c r="O568" s="90">
        <v>780.85</v>
      </c>
      <c r="P568" s="47">
        <v>1255608</v>
      </c>
      <c r="Q568" s="47">
        <v>1255608</v>
      </c>
      <c r="R568" s="47">
        <v>1255608</v>
      </c>
      <c r="S568" s="47">
        <v>1255608</v>
      </c>
      <c r="T568" s="47">
        <v>418536</v>
      </c>
      <c r="U568" s="47">
        <v>627804</v>
      </c>
      <c r="V568" s="47">
        <f t="shared" si="143"/>
        <v>627804</v>
      </c>
      <c r="W568" s="47">
        <v>0</v>
      </c>
      <c r="X568" s="47">
        <f t="shared" si="144"/>
        <v>0</v>
      </c>
      <c r="Y568" s="47">
        <v>0</v>
      </c>
      <c r="Z568" s="88">
        <f t="shared" si="145"/>
        <v>0</v>
      </c>
      <c r="AE568" s="10"/>
      <c r="AN568" s="3"/>
      <c r="AO568" s="16"/>
      <c r="AP568" s="16"/>
      <c r="AQ568" s="16"/>
      <c r="AR568" s="16"/>
      <c r="AS568" s="16"/>
      <c r="AT568" s="16"/>
      <c r="AU568" s="16"/>
    </row>
    <row r="569" spans="1:47" ht="43.5" customHeight="1">
      <c r="A569" s="533" t="s">
        <v>31</v>
      </c>
      <c r="B569" s="842"/>
      <c r="C569" s="842"/>
      <c r="D569" s="842"/>
      <c r="E569" s="842"/>
      <c r="F569" s="842"/>
      <c r="G569" s="842"/>
      <c r="H569" s="842"/>
      <c r="I569" s="847"/>
      <c r="J569" s="126">
        <v>325540</v>
      </c>
      <c r="K569" s="258">
        <v>251168</v>
      </c>
      <c r="L569" s="241">
        <v>212</v>
      </c>
      <c r="M569" s="384"/>
      <c r="N569" s="673">
        <v>41</v>
      </c>
      <c r="O569" s="90">
        <v>676.03</v>
      </c>
      <c r="P569" s="47">
        <v>332608</v>
      </c>
      <c r="Q569" s="47">
        <v>332608</v>
      </c>
      <c r="R569" s="47">
        <v>332608</v>
      </c>
      <c r="S569" s="47">
        <v>332608</v>
      </c>
      <c r="T569" s="47">
        <v>110870</v>
      </c>
      <c r="U569" s="47">
        <v>166305</v>
      </c>
      <c r="V569" s="47">
        <f t="shared" si="143"/>
        <v>166305</v>
      </c>
      <c r="W569" s="47">
        <v>0</v>
      </c>
      <c r="X569" s="47">
        <f t="shared" si="144"/>
        <v>0</v>
      </c>
      <c r="Y569" s="47">
        <v>0</v>
      </c>
      <c r="Z569" s="88">
        <f t="shared" si="145"/>
        <v>0</v>
      </c>
      <c r="AE569" s="10"/>
      <c r="AN569" s="3"/>
      <c r="AO569" s="16"/>
      <c r="AP569" s="16"/>
      <c r="AQ569" s="16"/>
      <c r="AR569" s="16"/>
      <c r="AS569" s="16"/>
      <c r="AT569" s="16"/>
      <c r="AU569" s="16"/>
    </row>
    <row r="570" spans="1:47" ht="48.75" customHeight="1">
      <c r="A570" s="466" t="s">
        <v>32</v>
      </c>
      <c r="B570" s="842"/>
      <c r="C570" s="842"/>
      <c r="D570" s="842"/>
      <c r="E570" s="842"/>
      <c r="F570" s="842"/>
      <c r="G570" s="842"/>
      <c r="H570" s="842"/>
      <c r="I570" s="847"/>
      <c r="J570" s="126">
        <v>1103097</v>
      </c>
      <c r="K570" s="90">
        <v>833177</v>
      </c>
      <c r="L570" s="536">
        <v>212</v>
      </c>
      <c r="M570" s="532"/>
      <c r="N570" s="671">
        <v>124</v>
      </c>
      <c r="O570" s="90">
        <v>790.17</v>
      </c>
      <c r="P570" s="90">
        <v>1175767</v>
      </c>
      <c r="Q570" s="90">
        <v>1175767</v>
      </c>
      <c r="R570" s="90">
        <v>1175767</v>
      </c>
      <c r="S570" s="90">
        <v>1175767</v>
      </c>
      <c r="T570" s="47">
        <v>391922</v>
      </c>
      <c r="U570" s="47">
        <v>587883</v>
      </c>
      <c r="V570" s="47">
        <f t="shared" si="143"/>
        <v>587883</v>
      </c>
      <c r="W570" s="47">
        <v>0</v>
      </c>
      <c r="X570" s="47">
        <f t="shared" si="144"/>
        <v>0</v>
      </c>
      <c r="Y570" s="47">
        <v>0</v>
      </c>
      <c r="Z570" s="88">
        <f t="shared" si="145"/>
        <v>0</v>
      </c>
      <c r="AE570" s="10"/>
      <c r="AN570" s="3"/>
      <c r="AO570" s="16"/>
      <c r="AP570" s="16"/>
      <c r="AQ570" s="16"/>
      <c r="AR570" s="16"/>
      <c r="AS570" s="16"/>
      <c r="AT570" s="16"/>
      <c r="AU570" s="16"/>
    </row>
    <row r="571" spans="1:47" ht="60.75">
      <c r="A571" s="533" t="s">
        <v>33</v>
      </c>
      <c r="B571" s="842"/>
      <c r="C571" s="842"/>
      <c r="D571" s="842"/>
      <c r="E571" s="842"/>
      <c r="F571" s="842"/>
      <c r="G571" s="842"/>
      <c r="H571" s="842"/>
      <c r="I571" s="847"/>
      <c r="J571" s="537">
        <v>93467</v>
      </c>
      <c r="K571" s="258">
        <v>79624</v>
      </c>
      <c r="L571" s="538">
        <v>212</v>
      </c>
      <c r="M571" s="338"/>
      <c r="N571" s="673">
        <v>13</v>
      </c>
      <c r="O571" s="258">
        <v>754.25</v>
      </c>
      <c r="P571" s="90">
        <v>117663</v>
      </c>
      <c r="Q571" s="90">
        <v>117663</v>
      </c>
      <c r="R571" s="90">
        <v>117663</v>
      </c>
      <c r="S571" s="90">
        <v>117663</v>
      </c>
      <c r="T571" s="47">
        <v>39221</v>
      </c>
      <c r="U571" s="47">
        <v>58831</v>
      </c>
      <c r="V571" s="47">
        <f t="shared" si="143"/>
        <v>58831</v>
      </c>
      <c r="W571" s="47">
        <v>0</v>
      </c>
      <c r="X571" s="47">
        <f t="shared" si="144"/>
        <v>0</v>
      </c>
      <c r="Y571" s="47">
        <v>0</v>
      </c>
      <c r="Z571" s="88">
        <f t="shared" si="145"/>
        <v>0</v>
      </c>
      <c r="AE571" s="10"/>
      <c r="AN571" s="3"/>
      <c r="AO571" s="16"/>
      <c r="AP571" s="16"/>
      <c r="AQ571" s="16"/>
      <c r="AR571" s="16"/>
      <c r="AS571" s="16"/>
      <c r="AT571" s="16"/>
      <c r="AU571" s="16"/>
    </row>
    <row r="572" spans="1:47" ht="60.75">
      <c r="A572" s="533" t="s">
        <v>34</v>
      </c>
      <c r="B572" s="842"/>
      <c r="C572" s="842"/>
      <c r="D572" s="842"/>
      <c r="E572" s="842"/>
      <c r="F572" s="842"/>
      <c r="G572" s="842"/>
      <c r="H572" s="842"/>
      <c r="I572" s="847"/>
      <c r="J572" s="126">
        <v>430500</v>
      </c>
      <c r="K572" s="90">
        <v>384852</v>
      </c>
      <c r="L572" s="361">
        <v>212</v>
      </c>
      <c r="M572" s="532"/>
      <c r="N572" s="671">
        <v>56</v>
      </c>
      <c r="O572" s="90">
        <v>754.28</v>
      </c>
      <c r="P572" s="90">
        <v>506875</v>
      </c>
      <c r="Q572" s="90">
        <v>506875</v>
      </c>
      <c r="R572" s="90">
        <v>506875</v>
      </c>
      <c r="S572" s="90">
        <v>506875</v>
      </c>
      <c r="T572" s="47">
        <v>168958</v>
      </c>
      <c r="U572" s="47">
        <v>253437</v>
      </c>
      <c r="V572" s="47">
        <f t="shared" si="143"/>
        <v>253437</v>
      </c>
      <c r="W572" s="47">
        <v>0</v>
      </c>
      <c r="X572" s="47">
        <f t="shared" si="144"/>
        <v>0</v>
      </c>
      <c r="Y572" s="47">
        <v>0</v>
      </c>
      <c r="Z572" s="88">
        <f t="shared" si="145"/>
        <v>0</v>
      </c>
      <c r="AE572" s="10"/>
      <c r="AN572" s="3"/>
      <c r="AO572" s="16"/>
      <c r="AP572" s="16"/>
      <c r="AQ572" s="16"/>
      <c r="AR572" s="16"/>
      <c r="AS572" s="16"/>
      <c r="AT572" s="16"/>
      <c r="AU572" s="16"/>
    </row>
    <row r="573" spans="1:47" ht="45" customHeight="1">
      <c r="A573" s="533" t="s">
        <v>35</v>
      </c>
      <c r="B573" s="842"/>
      <c r="C573" s="842"/>
      <c r="D573" s="842"/>
      <c r="E573" s="842"/>
      <c r="F573" s="842"/>
      <c r="G573" s="842"/>
      <c r="H573" s="842"/>
      <c r="I573" s="847"/>
      <c r="J573" s="126">
        <v>2087270</v>
      </c>
      <c r="K573" s="90">
        <v>1654511</v>
      </c>
      <c r="L573" s="361">
        <v>212</v>
      </c>
      <c r="M573" s="384"/>
      <c r="N573" s="671">
        <v>192</v>
      </c>
      <c r="O573" s="90">
        <v>981.14</v>
      </c>
      <c r="P573" s="90">
        <v>2260537</v>
      </c>
      <c r="Q573" s="90">
        <v>2260537</v>
      </c>
      <c r="R573" s="90">
        <v>2260537</v>
      </c>
      <c r="S573" s="90">
        <v>2260537</v>
      </c>
      <c r="T573" s="47">
        <v>753512</v>
      </c>
      <c r="U573" s="47">
        <v>1130268</v>
      </c>
      <c r="V573" s="47">
        <f t="shared" si="143"/>
        <v>1130268</v>
      </c>
      <c r="W573" s="47">
        <v>0</v>
      </c>
      <c r="X573" s="47">
        <f t="shared" si="144"/>
        <v>0</v>
      </c>
      <c r="Y573" s="47">
        <v>0</v>
      </c>
      <c r="Z573" s="88">
        <f t="shared" si="145"/>
        <v>0</v>
      </c>
      <c r="AE573" s="10"/>
      <c r="AN573" s="3"/>
      <c r="AO573" s="16"/>
      <c r="AP573" s="16"/>
      <c r="AQ573" s="16"/>
      <c r="AR573" s="16"/>
      <c r="AS573" s="16"/>
      <c r="AT573" s="16"/>
      <c r="AU573" s="16"/>
    </row>
    <row r="574" spans="1:47" ht="60.75">
      <c r="A574" s="533" t="s">
        <v>36</v>
      </c>
      <c r="B574" s="842"/>
      <c r="C574" s="842"/>
      <c r="D574" s="842"/>
      <c r="E574" s="842"/>
      <c r="F574" s="842"/>
      <c r="G574" s="842"/>
      <c r="H574" s="842"/>
      <c r="I574" s="847"/>
      <c r="J574" s="126">
        <v>84697.06</v>
      </c>
      <c r="K574" s="90">
        <v>72989</v>
      </c>
      <c r="L574" s="361">
        <v>212</v>
      </c>
      <c r="M574" s="532"/>
      <c r="N574" s="671">
        <v>10</v>
      </c>
      <c r="O574" s="90">
        <v>754.25</v>
      </c>
      <c r="P574" s="90">
        <v>90511</v>
      </c>
      <c r="Q574" s="90">
        <v>90511</v>
      </c>
      <c r="R574" s="90">
        <v>90511</v>
      </c>
      <c r="S574" s="90">
        <v>90511</v>
      </c>
      <c r="T574" s="47">
        <v>30170</v>
      </c>
      <c r="U574" s="47">
        <v>45255</v>
      </c>
      <c r="V574" s="47">
        <f t="shared" si="143"/>
        <v>45255</v>
      </c>
      <c r="W574" s="47">
        <v>0</v>
      </c>
      <c r="X574" s="47">
        <f t="shared" si="144"/>
        <v>0</v>
      </c>
      <c r="Y574" s="47">
        <v>0</v>
      </c>
      <c r="Z574" s="88">
        <f t="shared" si="145"/>
        <v>0</v>
      </c>
      <c r="AE574" s="10"/>
      <c r="AN574" s="3"/>
      <c r="AO574" s="16"/>
      <c r="AP574" s="16"/>
      <c r="AQ574" s="16"/>
      <c r="AR574" s="16"/>
      <c r="AS574" s="16"/>
      <c r="AT574" s="16"/>
      <c r="AU574" s="16"/>
    </row>
    <row r="575" spans="1:47" ht="72.75" customHeight="1">
      <c r="A575" s="533" t="s">
        <v>37</v>
      </c>
      <c r="B575" s="842"/>
      <c r="C575" s="842"/>
      <c r="D575" s="842"/>
      <c r="E575" s="842"/>
      <c r="F575" s="842"/>
      <c r="G575" s="842"/>
      <c r="H575" s="842"/>
      <c r="I575" s="847"/>
      <c r="J575" s="126">
        <v>90810</v>
      </c>
      <c r="K575" s="90">
        <v>72989</v>
      </c>
      <c r="L575" s="361">
        <v>212</v>
      </c>
      <c r="M575" s="532"/>
      <c r="N575" s="671">
        <v>6</v>
      </c>
      <c r="O575" s="90">
        <v>754.28</v>
      </c>
      <c r="P575" s="90">
        <v>54307</v>
      </c>
      <c r="Q575" s="90">
        <v>54307</v>
      </c>
      <c r="R575" s="90">
        <v>54307</v>
      </c>
      <c r="S575" s="90">
        <v>54307</v>
      </c>
      <c r="T575" s="47">
        <v>18102</v>
      </c>
      <c r="U575" s="47">
        <v>27153</v>
      </c>
      <c r="V575" s="47">
        <f t="shared" si="143"/>
        <v>27153</v>
      </c>
      <c r="W575" s="47">
        <v>0</v>
      </c>
      <c r="X575" s="47">
        <f t="shared" si="144"/>
        <v>0</v>
      </c>
      <c r="Y575" s="47">
        <v>0</v>
      </c>
      <c r="Z575" s="88">
        <f t="shared" si="145"/>
        <v>0</v>
      </c>
      <c r="AE575" s="10"/>
      <c r="AN575" s="3"/>
      <c r="AO575" s="16"/>
      <c r="AP575" s="16"/>
      <c r="AQ575" s="16"/>
      <c r="AR575" s="16"/>
      <c r="AS575" s="16"/>
      <c r="AT575" s="16"/>
      <c r="AU575" s="16"/>
    </row>
    <row r="576" spans="1:47" ht="48.75" customHeight="1">
      <c r="A576" s="533" t="s">
        <v>38</v>
      </c>
      <c r="B576" s="842"/>
      <c r="C576" s="842"/>
      <c r="D576" s="842"/>
      <c r="E576" s="842"/>
      <c r="F576" s="842"/>
      <c r="G576" s="842"/>
      <c r="H576" s="842"/>
      <c r="I576" s="847"/>
      <c r="J576" s="126">
        <v>952134.33</v>
      </c>
      <c r="K576" s="90">
        <v>782818.75</v>
      </c>
      <c r="L576" s="361">
        <v>212</v>
      </c>
      <c r="M576" s="532"/>
      <c r="N576" s="671">
        <v>96</v>
      </c>
      <c r="O576" s="90">
        <v>924.32</v>
      </c>
      <c r="P576" s="90">
        <v>1064819</v>
      </c>
      <c r="Q576" s="90">
        <v>1064819</v>
      </c>
      <c r="R576" s="90">
        <v>1064819</v>
      </c>
      <c r="S576" s="90">
        <v>1064819</v>
      </c>
      <c r="T576" s="47">
        <v>354940</v>
      </c>
      <c r="U576" s="47">
        <v>532410</v>
      </c>
      <c r="V576" s="47">
        <f t="shared" si="143"/>
        <v>532410</v>
      </c>
      <c r="W576" s="47">
        <v>0</v>
      </c>
      <c r="X576" s="47">
        <f t="shared" si="144"/>
        <v>0</v>
      </c>
      <c r="Y576" s="47">
        <v>0</v>
      </c>
      <c r="Z576" s="88">
        <f t="shared" si="145"/>
        <v>0</v>
      </c>
      <c r="AE576" s="10"/>
      <c r="AN576" s="3"/>
      <c r="AO576" s="16"/>
      <c r="AP576" s="16"/>
      <c r="AQ576" s="16"/>
      <c r="AR576" s="16"/>
      <c r="AS576" s="16"/>
      <c r="AT576" s="16"/>
      <c r="AU576" s="16"/>
    </row>
    <row r="577" spans="1:47" ht="50.25" customHeight="1">
      <c r="A577" s="533" t="s">
        <v>39</v>
      </c>
      <c r="B577" s="842"/>
      <c r="C577" s="842"/>
      <c r="D577" s="842"/>
      <c r="E577" s="842"/>
      <c r="F577" s="842"/>
      <c r="G577" s="842"/>
      <c r="H577" s="842"/>
      <c r="I577" s="847"/>
      <c r="J577" s="90">
        <v>583949.54</v>
      </c>
      <c r="K577" s="90">
        <v>486430</v>
      </c>
      <c r="L577" s="361">
        <v>212</v>
      </c>
      <c r="M577" s="532"/>
      <c r="N577" s="671">
        <v>78</v>
      </c>
      <c r="O577" s="90">
        <v>769.53</v>
      </c>
      <c r="P577" s="90">
        <v>720286</v>
      </c>
      <c r="Q577" s="90">
        <v>720286</v>
      </c>
      <c r="R577" s="90">
        <v>720286</v>
      </c>
      <c r="S577" s="90">
        <v>720286</v>
      </c>
      <c r="T577" s="47">
        <v>240095</v>
      </c>
      <c r="U577" s="47">
        <v>360145</v>
      </c>
      <c r="V577" s="47">
        <f t="shared" si="143"/>
        <v>360145</v>
      </c>
      <c r="W577" s="47">
        <v>0</v>
      </c>
      <c r="X577" s="47">
        <f t="shared" si="144"/>
        <v>0</v>
      </c>
      <c r="Y577" s="47">
        <v>0</v>
      </c>
      <c r="Z577" s="88">
        <f t="shared" si="145"/>
        <v>0</v>
      </c>
      <c r="AE577" s="10"/>
      <c r="AN577" s="3"/>
      <c r="AO577" s="16"/>
      <c r="AP577" s="16"/>
      <c r="AQ577" s="16"/>
      <c r="AR577" s="16"/>
      <c r="AS577" s="16"/>
      <c r="AT577" s="16"/>
      <c r="AU577" s="16"/>
    </row>
    <row r="578" spans="1:47" ht="40.5">
      <c r="A578" s="533" t="s">
        <v>40</v>
      </c>
      <c r="B578" s="842"/>
      <c r="C578" s="842"/>
      <c r="D578" s="842"/>
      <c r="E578" s="842"/>
      <c r="F578" s="842"/>
      <c r="G578" s="842"/>
      <c r="H578" s="842"/>
      <c r="I578" s="847"/>
      <c r="J578" s="126">
        <v>345374</v>
      </c>
      <c r="K578" s="90">
        <v>258577</v>
      </c>
      <c r="L578" s="361">
        <v>212</v>
      </c>
      <c r="M578" s="532"/>
      <c r="N578" s="671">
        <v>39</v>
      </c>
      <c r="O578" s="90">
        <v>790.81</v>
      </c>
      <c r="P578" s="90">
        <v>370099</v>
      </c>
      <c r="Q578" s="90">
        <v>370099</v>
      </c>
      <c r="R578" s="90">
        <v>370099</v>
      </c>
      <c r="S578" s="90">
        <v>370099</v>
      </c>
      <c r="T578" s="47">
        <v>123366</v>
      </c>
      <c r="U578" s="47">
        <v>185049</v>
      </c>
      <c r="V578" s="47">
        <f t="shared" si="143"/>
        <v>185049</v>
      </c>
      <c r="W578" s="47">
        <v>0</v>
      </c>
      <c r="X578" s="47">
        <f t="shared" si="144"/>
        <v>0</v>
      </c>
      <c r="Y578" s="47">
        <v>0</v>
      </c>
      <c r="Z578" s="88">
        <f t="shared" si="145"/>
        <v>0</v>
      </c>
      <c r="AE578" s="10"/>
      <c r="AN578" s="3"/>
      <c r="AO578" s="16"/>
      <c r="AP578" s="16"/>
      <c r="AQ578" s="16"/>
      <c r="AR578" s="16"/>
      <c r="AS578" s="16"/>
      <c r="AT578" s="16"/>
      <c r="AU578" s="16"/>
    </row>
    <row r="579" spans="1:47" ht="60.75">
      <c r="A579" s="533" t="s">
        <v>41</v>
      </c>
      <c r="B579" s="842"/>
      <c r="C579" s="842"/>
      <c r="D579" s="842"/>
      <c r="E579" s="842"/>
      <c r="F579" s="842"/>
      <c r="G579" s="842"/>
      <c r="H579" s="842"/>
      <c r="I579" s="847"/>
      <c r="J579" s="126">
        <v>938800</v>
      </c>
      <c r="K579" s="90">
        <v>805726</v>
      </c>
      <c r="L579" s="539">
        <v>212</v>
      </c>
      <c r="M579" s="532"/>
      <c r="N579" s="671">
        <v>112</v>
      </c>
      <c r="O579" s="90">
        <v>788.67</v>
      </c>
      <c r="P579" s="90">
        <v>1059977</v>
      </c>
      <c r="Q579" s="90">
        <v>1059977</v>
      </c>
      <c r="R579" s="90">
        <v>1059977</v>
      </c>
      <c r="S579" s="90">
        <v>1059977</v>
      </c>
      <c r="T579" s="47">
        <v>353326</v>
      </c>
      <c r="U579" s="47">
        <v>529989</v>
      </c>
      <c r="V579" s="47">
        <f t="shared" si="143"/>
        <v>529989</v>
      </c>
      <c r="W579" s="47">
        <v>0</v>
      </c>
      <c r="X579" s="47">
        <f t="shared" si="144"/>
        <v>0</v>
      </c>
      <c r="Y579" s="47">
        <v>0</v>
      </c>
      <c r="Z579" s="88">
        <f t="shared" si="145"/>
        <v>0</v>
      </c>
      <c r="AE579" s="10"/>
      <c r="AN579" s="3"/>
      <c r="AO579" s="16"/>
      <c r="AP579" s="16"/>
      <c r="AQ579" s="16"/>
      <c r="AR579" s="16"/>
      <c r="AS579" s="16"/>
      <c r="AT579" s="16"/>
      <c r="AU579" s="16"/>
    </row>
    <row r="580" spans="1:47" ht="53.25" customHeight="1">
      <c r="A580" s="533" t="s">
        <v>42</v>
      </c>
      <c r="B580" s="842"/>
      <c r="C580" s="842"/>
      <c r="D580" s="842"/>
      <c r="E580" s="842"/>
      <c r="F580" s="842"/>
      <c r="G580" s="842"/>
      <c r="H580" s="842"/>
      <c r="I580" s="847"/>
      <c r="J580" s="126">
        <v>530000</v>
      </c>
      <c r="K580" s="90">
        <v>457712</v>
      </c>
      <c r="L580" s="361">
        <v>212</v>
      </c>
      <c r="M580" s="384"/>
      <c r="N580" s="671">
        <v>58</v>
      </c>
      <c r="O580" s="90">
        <v>790.19</v>
      </c>
      <c r="P580" s="90">
        <v>549974</v>
      </c>
      <c r="Q580" s="90">
        <v>549974</v>
      </c>
      <c r="R580" s="90">
        <v>549974</v>
      </c>
      <c r="S580" s="90">
        <v>549974</v>
      </c>
      <c r="T580" s="47">
        <v>183325</v>
      </c>
      <c r="U580" s="47">
        <v>274987</v>
      </c>
      <c r="V580" s="47">
        <f t="shared" si="143"/>
        <v>274987</v>
      </c>
      <c r="W580" s="47">
        <v>0</v>
      </c>
      <c r="X580" s="47">
        <f t="shared" si="144"/>
        <v>0</v>
      </c>
      <c r="Y580" s="47">
        <v>0</v>
      </c>
      <c r="Z580" s="88">
        <f t="shared" si="145"/>
        <v>0</v>
      </c>
      <c r="AE580" s="10"/>
      <c r="AN580" s="3"/>
      <c r="AO580" s="16"/>
      <c r="AP580" s="16"/>
      <c r="AQ580" s="16"/>
      <c r="AR580" s="16"/>
      <c r="AS580" s="16"/>
      <c r="AT580" s="16"/>
      <c r="AU580" s="16"/>
    </row>
    <row r="581" spans="1:47" ht="67.5" customHeight="1">
      <c r="A581" s="540" t="s">
        <v>43</v>
      </c>
      <c r="B581" s="842"/>
      <c r="C581" s="842"/>
      <c r="D581" s="842"/>
      <c r="E581" s="842"/>
      <c r="F581" s="842"/>
      <c r="G581" s="842"/>
      <c r="H581" s="842"/>
      <c r="I581" s="847"/>
      <c r="J581" s="541">
        <v>904702.5</v>
      </c>
      <c r="K581" s="542">
        <v>690894</v>
      </c>
      <c r="L581" s="543">
        <v>212</v>
      </c>
      <c r="M581" s="544"/>
      <c r="N581" s="674">
        <v>99</v>
      </c>
      <c r="O581" s="542">
        <v>791.734242</v>
      </c>
      <c r="P581" s="90">
        <v>940580</v>
      </c>
      <c r="Q581" s="90">
        <v>940580</v>
      </c>
      <c r="R581" s="90">
        <v>940580</v>
      </c>
      <c r="S581" s="90">
        <v>940580</v>
      </c>
      <c r="T581" s="47">
        <v>313527</v>
      </c>
      <c r="U581" s="47">
        <v>470290</v>
      </c>
      <c r="V581" s="47">
        <f t="shared" si="143"/>
        <v>470290</v>
      </c>
      <c r="W581" s="47">
        <v>0</v>
      </c>
      <c r="X581" s="47">
        <f t="shared" si="144"/>
        <v>0</v>
      </c>
      <c r="Y581" s="47">
        <v>0</v>
      </c>
      <c r="Z581" s="88">
        <f t="shared" si="145"/>
        <v>0</v>
      </c>
      <c r="AE581" s="10"/>
      <c r="AN581" s="3"/>
      <c r="AO581" s="16"/>
      <c r="AP581" s="16"/>
      <c r="AQ581" s="16"/>
      <c r="AR581" s="16"/>
      <c r="AS581" s="16"/>
      <c r="AT581" s="16"/>
      <c r="AU581" s="16"/>
    </row>
    <row r="582" spans="1:47" ht="40.5">
      <c r="A582" s="533" t="s">
        <v>44</v>
      </c>
      <c r="B582" s="842"/>
      <c r="C582" s="842"/>
      <c r="D582" s="842"/>
      <c r="E582" s="842"/>
      <c r="F582" s="842"/>
      <c r="G582" s="842"/>
      <c r="H582" s="842"/>
      <c r="I582" s="847"/>
      <c r="J582" s="126">
        <v>991459</v>
      </c>
      <c r="K582" s="90">
        <v>731942</v>
      </c>
      <c r="L582" s="361">
        <v>212</v>
      </c>
      <c r="M582" s="532"/>
      <c r="N582" s="671">
        <v>105</v>
      </c>
      <c r="O582" s="90">
        <v>766.21</v>
      </c>
      <c r="P582" s="90">
        <v>965418</v>
      </c>
      <c r="Q582" s="90">
        <v>965418</v>
      </c>
      <c r="R582" s="90">
        <v>965418</v>
      </c>
      <c r="S582" s="90">
        <v>965418</v>
      </c>
      <c r="T582" s="47">
        <v>321806</v>
      </c>
      <c r="U582" s="47">
        <v>482709</v>
      </c>
      <c r="V582" s="47">
        <f t="shared" si="143"/>
        <v>482709</v>
      </c>
      <c r="W582" s="47">
        <v>0</v>
      </c>
      <c r="X582" s="47">
        <f t="shared" si="144"/>
        <v>0</v>
      </c>
      <c r="Y582" s="47">
        <v>0</v>
      </c>
      <c r="Z582" s="88">
        <f t="shared" si="145"/>
        <v>0</v>
      </c>
      <c r="AE582" s="10"/>
      <c r="AN582" s="3"/>
      <c r="AO582" s="16"/>
      <c r="AP582" s="16"/>
      <c r="AQ582" s="16"/>
      <c r="AR582" s="16"/>
      <c r="AS582" s="16"/>
      <c r="AT582" s="16"/>
      <c r="AU582" s="16"/>
    </row>
    <row r="583" spans="1:47" ht="60.75">
      <c r="A583" s="533" t="s">
        <v>45</v>
      </c>
      <c r="B583" s="842"/>
      <c r="C583" s="842"/>
      <c r="D583" s="842"/>
      <c r="E583" s="842"/>
      <c r="F583" s="842"/>
      <c r="G583" s="842"/>
      <c r="H583" s="842"/>
      <c r="I583" s="847"/>
      <c r="J583" s="126">
        <v>630370.74</v>
      </c>
      <c r="K583" s="90">
        <v>548770</v>
      </c>
      <c r="L583" s="361">
        <v>212</v>
      </c>
      <c r="M583" s="384"/>
      <c r="N583" s="671">
        <v>75</v>
      </c>
      <c r="O583" s="90">
        <v>811.25</v>
      </c>
      <c r="P583" s="90">
        <v>730122</v>
      </c>
      <c r="Q583" s="90">
        <v>730122</v>
      </c>
      <c r="R583" s="90">
        <v>730122</v>
      </c>
      <c r="S583" s="90">
        <v>730122</v>
      </c>
      <c r="T583" s="47">
        <v>243374</v>
      </c>
      <c r="U583" s="47">
        <v>365061</v>
      </c>
      <c r="V583" s="47">
        <f t="shared" si="143"/>
        <v>365061</v>
      </c>
      <c r="W583" s="47">
        <v>0</v>
      </c>
      <c r="X583" s="47">
        <f t="shared" si="144"/>
        <v>0</v>
      </c>
      <c r="Y583" s="47">
        <v>0</v>
      </c>
      <c r="Z583" s="88">
        <f t="shared" si="145"/>
        <v>0</v>
      </c>
      <c r="AE583" s="10"/>
      <c r="AN583" s="3"/>
      <c r="AO583" s="16"/>
      <c r="AP583" s="16"/>
      <c r="AQ583" s="16"/>
      <c r="AR583" s="16"/>
      <c r="AS583" s="16"/>
      <c r="AT583" s="16"/>
      <c r="AU583" s="16"/>
    </row>
    <row r="584" spans="1:47" ht="78" customHeight="1">
      <c r="A584" s="533" t="s">
        <v>46</v>
      </c>
      <c r="B584" s="842"/>
      <c r="C584" s="842"/>
      <c r="D584" s="842"/>
      <c r="E584" s="842"/>
      <c r="F584" s="842"/>
      <c r="G584" s="842"/>
      <c r="H584" s="842"/>
      <c r="I584" s="847"/>
      <c r="J584" s="126">
        <v>537281.08</v>
      </c>
      <c r="K584" s="258">
        <v>778365</v>
      </c>
      <c r="L584" s="313">
        <v>212</v>
      </c>
      <c r="M584" s="338"/>
      <c r="N584" s="673">
        <v>105</v>
      </c>
      <c r="O584" s="258">
        <v>721.72</v>
      </c>
      <c r="P584" s="90">
        <v>909363</v>
      </c>
      <c r="Q584" s="90">
        <v>909363</v>
      </c>
      <c r="R584" s="90">
        <v>909363</v>
      </c>
      <c r="S584" s="90">
        <v>909363</v>
      </c>
      <c r="T584" s="47">
        <v>303121</v>
      </c>
      <c r="U584" s="47">
        <v>454681</v>
      </c>
      <c r="V584" s="47">
        <f t="shared" si="143"/>
        <v>454681</v>
      </c>
      <c r="W584" s="47">
        <v>0</v>
      </c>
      <c r="X584" s="47">
        <f t="shared" si="144"/>
        <v>0</v>
      </c>
      <c r="Y584" s="47">
        <v>0</v>
      </c>
      <c r="Z584" s="88">
        <f t="shared" si="145"/>
        <v>0</v>
      </c>
      <c r="AE584" s="10"/>
      <c r="AN584" s="3"/>
      <c r="AO584" s="16"/>
      <c r="AP584" s="16"/>
      <c r="AQ584" s="16"/>
      <c r="AR584" s="16"/>
      <c r="AS584" s="16"/>
      <c r="AT584" s="16"/>
      <c r="AU584" s="16"/>
    </row>
    <row r="585" spans="1:47" ht="69.75" customHeight="1">
      <c r="A585" s="533" t="s">
        <v>47</v>
      </c>
      <c r="B585" s="842"/>
      <c r="C585" s="842"/>
      <c r="D585" s="842"/>
      <c r="E585" s="842"/>
      <c r="F585" s="842"/>
      <c r="G585" s="842"/>
      <c r="H585" s="842"/>
      <c r="I585" s="847"/>
      <c r="J585" s="126">
        <v>872731</v>
      </c>
      <c r="K585" s="90">
        <v>644956</v>
      </c>
      <c r="L585" s="361">
        <v>212</v>
      </c>
      <c r="M585" s="532"/>
      <c r="N585" s="671">
        <v>96</v>
      </c>
      <c r="O585" s="90">
        <v>788.9</v>
      </c>
      <c r="P585" s="90">
        <v>908813</v>
      </c>
      <c r="Q585" s="90">
        <v>908813</v>
      </c>
      <c r="R585" s="90">
        <v>908813</v>
      </c>
      <c r="S585" s="90">
        <v>908813</v>
      </c>
      <c r="T585" s="47">
        <v>302938</v>
      </c>
      <c r="U585" s="47">
        <v>454407</v>
      </c>
      <c r="V585" s="47">
        <f t="shared" si="143"/>
        <v>454407</v>
      </c>
      <c r="W585" s="47">
        <v>0</v>
      </c>
      <c r="X585" s="47">
        <f t="shared" si="144"/>
        <v>0</v>
      </c>
      <c r="Y585" s="47">
        <v>0</v>
      </c>
      <c r="Z585" s="88">
        <f t="shared" si="145"/>
        <v>0</v>
      </c>
      <c r="AE585" s="10"/>
      <c r="AN585" s="3"/>
      <c r="AO585" s="16"/>
      <c r="AP585" s="16"/>
      <c r="AQ585" s="16"/>
      <c r="AR585" s="16"/>
      <c r="AS585" s="16"/>
      <c r="AT585" s="16"/>
      <c r="AU585" s="16"/>
    </row>
    <row r="586" spans="1:47" ht="42.75" customHeight="1">
      <c r="A586" s="533" t="s">
        <v>48</v>
      </c>
      <c r="B586" s="842"/>
      <c r="C586" s="842"/>
      <c r="D586" s="842"/>
      <c r="E586" s="842"/>
      <c r="F586" s="842"/>
      <c r="G586" s="842"/>
      <c r="H586" s="842"/>
      <c r="I586" s="847"/>
      <c r="J586" s="126">
        <v>215928</v>
      </c>
      <c r="K586" s="90">
        <v>246224</v>
      </c>
      <c r="L586" s="361">
        <v>212</v>
      </c>
      <c r="M586" s="532"/>
      <c r="N586" s="671">
        <v>37</v>
      </c>
      <c r="O586" s="90">
        <v>728.86</v>
      </c>
      <c r="P586" s="47">
        <v>323614</v>
      </c>
      <c r="Q586" s="47">
        <v>323614</v>
      </c>
      <c r="R586" s="47">
        <v>323614</v>
      </c>
      <c r="S586" s="47">
        <v>323614</v>
      </c>
      <c r="T586" s="47">
        <v>107871</v>
      </c>
      <c r="U586" s="47">
        <v>161807</v>
      </c>
      <c r="V586" s="47">
        <f t="shared" si="143"/>
        <v>161807</v>
      </c>
      <c r="W586" s="47">
        <v>0</v>
      </c>
      <c r="X586" s="47">
        <f t="shared" si="144"/>
        <v>0</v>
      </c>
      <c r="Y586" s="47">
        <v>0</v>
      </c>
      <c r="Z586" s="88">
        <f t="shared" si="145"/>
        <v>0</v>
      </c>
      <c r="AE586" s="10"/>
      <c r="AN586" s="3"/>
      <c r="AO586" s="16"/>
      <c r="AP586" s="16"/>
      <c r="AQ586" s="16"/>
      <c r="AR586" s="16"/>
      <c r="AS586" s="16"/>
      <c r="AT586" s="16"/>
      <c r="AU586" s="16"/>
    </row>
    <row r="587" spans="1:47" ht="53.25" customHeight="1">
      <c r="A587" s="843" t="s">
        <v>234</v>
      </c>
      <c r="B587" s="844"/>
      <c r="C587" s="844"/>
      <c r="D587" s="844"/>
      <c r="E587" s="844"/>
      <c r="F587" s="844"/>
      <c r="G587" s="844"/>
      <c r="H587" s="844"/>
      <c r="I587" s="844"/>
      <c r="J587" s="844"/>
      <c r="K587" s="844"/>
      <c r="L587" s="844"/>
      <c r="M587" s="844"/>
      <c r="N587" s="845"/>
      <c r="O587" s="111"/>
      <c r="P587" s="130"/>
      <c r="Q587" s="130"/>
      <c r="R587" s="130"/>
      <c r="S587" s="130"/>
      <c r="T587" s="130"/>
      <c r="U587" s="130">
        <f aca="true" t="shared" si="146" ref="U587:Z587">U588+U591</f>
        <v>25200000</v>
      </c>
      <c r="V587" s="130">
        <f t="shared" si="146"/>
        <v>25200000</v>
      </c>
      <c r="W587" s="130">
        <f t="shared" si="146"/>
        <v>2037352.63</v>
      </c>
      <c r="X587" s="130">
        <f t="shared" si="146"/>
        <v>2037352.63</v>
      </c>
      <c r="Y587" s="130">
        <f t="shared" si="146"/>
        <v>2037352.63</v>
      </c>
      <c r="Z587" s="130">
        <f t="shared" si="146"/>
        <v>2037352.63</v>
      </c>
      <c r="AE587" s="10"/>
      <c r="AN587" s="3"/>
      <c r="AO587" s="16"/>
      <c r="AP587" s="16"/>
      <c r="AQ587" s="16"/>
      <c r="AR587" s="16"/>
      <c r="AS587" s="16"/>
      <c r="AT587" s="16"/>
      <c r="AU587" s="16"/>
    </row>
    <row r="588" spans="1:47" ht="306" customHeight="1">
      <c r="A588" s="377" t="s">
        <v>682</v>
      </c>
      <c r="B588" s="688" t="s">
        <v>6</v>
      </c>
      <c r="C588" s="688" t="s">
        <v>7</v>
      </c>
      <c r="D588" s="688" t="s">
        <v>784</v>
      </c>
      <c r="E588" s="688" t="s">
        <v>8</v>
      </c>
      <c r="F588" s="688" t="s">
        <v>200</v>
      </c>
      <c r="G588" s="688" t="s">
        <v>785</v>
      </c>
      <c r="H588" s="688" t="s">
        <v>9</v>
      </c>
      <c r="I588" s="791" t="s">
        <v>202</v>
      </c>
      <c r="J588" s="112" t="e">
        <f>#REF!</f>
        <v>#REF!</v>
      </c>
      <c r="K588" s="112" t="e">
        <f>#REF!</f>
        <v>#REF!</v>
      </c>
      <c r="L588" s="529"/>
      <c r="M588" s="792"/>
      <c r="N588" s="793" t="s">
        <v>242</v>
      </c>
      <c r="O588" s="112" t="e">
        <f>#REF!</f>
        <v>#REF!</v>
      </c>
      <c r="P588" s="112" t="e">
        <f>#REF!</f>
        <v>#REF!</v>
      </c>
      <c r="Q588" s="112" t="e">
        <f>#REF!</f>
        <v>#REF!</v>
      </c>
      <c r="R588" s="112" t="e">
        <f>#REF!</f>
        <v>#REF!</v>
      </c>
      <c r="S588" s="112" t="e">
        <f>#REF!</f>
        <v>#REF!</v>
      </c>
      <c r="T588" s="112">
        <f>T589</f>
        <v>1996605.26</v>
      </c>
      <c r="U588" s="112">
        <f aca="true" t="shared" si="147" ref="U588:Z588">U589+U590</f>
        <v>25200000</v>
      </c>
      <c r="V588" s="112">
        <f t="shared" si="147"/>
        <v>25200000</v>
      </c>
      <c r="W588" s="112">
        <f t="shared" si="147"/>
        <v>0</v>
      </c>
      <c r="X588" s="112">
        <f t="shared" si="147"/>
        <v>0</v>
      </c>
      <c r="Y588" s="112">
        <f t="shared" si="147"/>
        <v>0</v>
      </c>
      <c r="Z588" s="112">
        <f t="shared" si="147"/>
        <v>0</v>
      </c>
      <c r="AE588" s="10"/>
      <c r="AN588" s="3"/>
      <c r="AO588" s="16"/>
      <c r="AP588" s="16"/>
      <c r="AQ588" s="16"/>
      <c r="AR588" s="16"/>
      <c r="AS588" s="16"/>
      <c r="AT588" s="16"/>
      <c r="AU588" s="16"/>
    </row>
    <row r="589" spans="1:47" ht="151.5" customHeight="1">
      <c r="A589" s="799" t="s">
        <v>59</v>
      </c>
      <c r="B589" s="801"/>
      <c r="C589" s="802"/>
      <c r="D589" s="802"/>
      <c r="E589" s="802"/>
      <c r="F589" s="802"/>
      <c r="G589" s="802"/>
      <c r="H589" s="803"/>
      <c r="I589" s="799" t="s">
        <v>781</v>
      </c>
      <c r="J589" s="545"/>
      <c r="K589" s="90">
        <v>4500000</v>
      </c>
      <c r="L589" s="361"/>
      <c r="M589" s="789" t="s">
        <v>777</v>
      </c>
      <c r="N589" s="790" t="s">
        <v>778</v>
      </c>
      <c r="O589" s="90">
        <v>400000</v>
      </c>
      <c r="P589" s="90"/>
      <c r="Q589" s="546" t="e">
        <f>O589*#REF!</f>
        <v>#REF!</v>
      </c>
      <c r="R589" s="90" t="e">
        <f>O589*#REF!</f>
        <v>#REF!</v>
      </c>
      <c r="S589" s="90" t="e">
        <f>O589*#REF!</f>
        <v>#REF!</v>
      </c>
      <c r="T589" s="47">
        <v>1996605.26</v>
      </c>
      <c r="U589" s="47">
        <v>19200000</v>
      </c>
      <c r="V589" s="47">
        <f>U589</f>
        <v>19200000</v>
      </c>
      <c r="W589" s="411"/>
      <c r="X589" s="411"/>
      <c r="Y589" s="411"/>
      <c r="Z589" s="408"/>
      <c r="AE589" s="10"/>
      <c r="AN589" s="3"/>
      <c r="AO589" s="16"/>
      <c r="AP589" s="16"/>
      <c r="AQ589" s="16"/>
      <c r="AR589" s="16"/>
      <c r="AS589" s="16"/>
      <c r="AT589" s="16"/>
      <c r="AU589" s="16"/>
    </row>
    <row r="590" spans="1:47" ht="178.5" customHeight="1">
      <c r="A590" s="800"/>
      <c r="B590" s="804"/>
      <c r="C590" s="805"/>
      <c r="D590" s="805"/>
      <c r="E590" s="805"/>
      <c r="F590" s="805"/>
      <c r="G590" s="805"/>
      <c r="H590" s="806"/>
      <c r="I590" s="800"/>
      <c r="J590" s="545"/>
      <c r="K590" s="90"/>
      <c r="L590" s="361"/>
      <c r="M590" s="789" t="s">
        <v>779</v>
      </c>
      <c r="N590" s="790" t="s">
        <v>780</v>
      </c>
      <c r="O590" s="90"/>
      <c r="P590" s="90"/>
      <c r="Q590" s="546"/>
      <c r="R590" s="90"/>
      <c r="S590" s="90"/>
      <c r="T590" s="47"/>
      <c r="U590" s="47">
        <v>6000000</v>
      </c>
      <c r="V590" s="47">
        <f>U590</f>
        <v>6000000</v>
      </c>
      <c r="W590" s="411"/>
      <c r="X590" s="411"/>
      <c r="Y590" s="411"/>
      <c r="Z590" s="408"/>
      <c r="AE590" s="10"/>
      <c r="AN590" s="3"/>
      <c r="AO590" s="16"/>
      <c r="AP590" s="16"/>
      <c r="AQ590" s="16"/>
      <c r="AR590" s="16"/>
      <c r="AS590" s="16"/>
      <c r="AT590" s="16"/>
      <c r="AU590" s="16"/>
    </row>
    <row r="591" spans="1:47" ht="296.25" customHeight="1">
      <c r="A591" s="377" t="s">
        <v>682</v>
      </c>
      <c r="B591" s="688" t="s">
        <v>6</v>
      </c>
      <c r="C591" s="688" t="s">
        <v>7</v>
      </c>
      <c r="D591" s="688" t="s">
        <v>784</v>
      </c>
      <c r="E591" s="688" t="s">
        <v>8</v>
      </c>
      <c r="F591" s="688" t="s">
        <v>200</v>
      </c>
      <c r="G591" s="688" t="s">
        <v>507</v>
      </c>
      <c r="H591" s="688" t="s">
        <v>9</v>
      </c>
      <c r="I591" s="791" t="s">
        <v>202</v>
      </c>
      <c r="J591" s="112" t="e">
        <f>#REF!</f>
        <v>#REF!</v>
      </c>
      <c r="K591" s="112" t="e">
        <f>#REF!</f>
        <v>#REF!</v>
      </c>
      <c r="L591" s="529"/>
      <c r="M591" s="792"/>
      <c r="N591" s="793" t="s">
        <v>242</v>
      </c>
      <c r="O591" s="112" t="e">
        <f>#REF!</f>
        <v>#REF!</v>
      </c>
      <c r="P591" s="112" t="e">
        <f>#REF!</f>
        <v>#REF!</v>
      </c>
      <c r="Q591" s="112" t="e">
        <f>#REF!</f>
        <v>#REF!</v>
      </c>
      <c r="R591" s="112" t="e">
        <f>#REF!</f>
        <v>#REF!</v>
      </c>
      <c r="S591" s="112" t="e">
        <f>#REF!</f>
        <v>#REF!</v>
      </c>
      <c r="T591" s="112">
        <f>T592</f>
        <v>1996605.26</v>
      </c>
      <c r="U591" s="112">
        <f aca="true" t="shared" si="148" ref="U591:Z591">U592+U593</f>
        <v>0</v>
      </c>
      <c r="V591" s="112">
        <f t="shared" si="148"/>
        <v>0</v>
      </c>
      <c r="W591" s="112">
        <f t="shared" si="148"/>
        <v>2037352.63</v>
      </c>
      <c r="X591" s="112">
        <f t="shared" si="148"/>
        <v>2037352.63</v>
      </c>
      <c r="Y591" s="112">
        <f t="shared" si="148"/>
        <v>2037352.63</v>
      </c>
      <c r="Z591" s="112">
        <f t="shared" si="148"/>
        <v>2037352.63</v>
      </c>
      <c r="AE591" s="10"/>
      <c r="AN591" s="3"/>
      <c r="AO591" s="16"/>
      <c r="AP591" s="16"/>
      <c r="AQ591" s="16"/>
      <c r="AR591" s="16"/>
      <c r="AS591" s="16"/>
      <c r="AT591" s="16"/>
      <c r="AU591" s="16"/>
    </row>
    <row r="592" spans="1:47" ht="183" customHeight="1">
      <c r="A592" s="799" t="s">
        <v>59</v>
      </c>
      <c r="B592" s="801"/>
      <c r="C592" s="802"/>
      <c r="D592" s="802"/>
      <c r="E592" s="802"/>
      <c r="F592" s="802"/>
      <c r="G592" s="802"/>
      <c r="H592" s="803"/>
      <c r="I592" s="799" t="s">
        <v>781</v>
      </c>
      <c r="J592" s="545"/>
      <c r="K592" s="90">
        <v>4500000</v>
      </c>
      <c r="L592" s="361"/>
      <c r="M592" s="789" t="s">
        <v>777</v>
      </c>
      <c r="N592" s="790" t="s">
        <v>778</v>
      </c>
      <c r="O592" s="90">
        <v>400000</v>
      </c>
      <c r="P592" s="90"/>
      <c r="Q592" s="546" t="e">
        <f>O592*#REF!</f>
        <v>#REF!</v>
      </c>
      <c r="R592" s="90" t="e">
        <f>O592*#REF!</f>
        <v>#REF!</v>
      </c>
      <c r="S592" s="90" t="e">
        <f>O592*#REF!</f>
        <v>#REF!</v>
      </c>
      <c r="T592" s="47">
        <v>1996605.26</v>
      </c>
      <c r="U592" s="47">
        <v>0</v>
      </c>
      <c r="V592" s="47">
        <v>0</v>
      </c>
      <c r="W592" s="807">
        <v>2037352.63</v>
      </c>
      <c r="X592" s="807">
        <f>W592</f>
        <v>2037352.63</v>
      </c>
      <c r="Y592" s="807">
        <v>2037352.63</v>
      </c>
      <c r="Z592" s="794">
        <f>Y592</f>
        <v>2037352.63</v>
      </c>
      <c r="AE592" s="10"/>
      <c r="AN592" s="3"/>
      <c r="AO592" s="16"/>
      <c r="AP592" s="16"/>
      <c r="AQ592" s="16"/>
      <c r="AR592" s="16"/>
      <c r="AS592" s="16"/>
      <c r="AT592" s="16"/>
      <c r="AU592" s="16"/>
    </row>
    <row r="593" spans="1:26" s="5" customFormat="1" ht="146.25" customHeight="1">
      <c r="A593" s="800"/>
      <c r="B593" s="804"/>
      <c r="C593" s="805"/>
      <c r="D593" s="805"/>
      <c r="E593" s="805"/>
      <c r="F593" s="805"/>
      <c r="G593" s="805"/>
      <c r="H593" s="806"/>
      <c r="I593" s="800"/>
      <c r="J593" s="545"/>
      <c r="K593" s="90"/>
      <c r="L593" s="361"/>
      <c r="M593" s="789" t="s">
        <v>779</v>
      </c>
      <c r="N593" s="790" t="s">
        <v>780</v>
      </c>
      <c r="O593" s="90"/>
      <c r="P593" s="90"/>
      <c r="Q593" s="546"/>
      <c r="R593" s="90"/>
      <c r="S593" s="90"/>
      <c r="T593" s="47"/>
      <c r="U593" s="47">
        <v>0</v>
      </c>
      <c r="V593" s="47">
        <v>0</v>
      </c>
      <c r="W593" s="808"/>
      <c r="X593" s="808"/>
      <c r="Y593" s="808"/>
      <c r="Z593" s="795"/>
    </row>
    <row r="594" spans="1:26" s="5" customFormat="1" ht="35.25" customHeight="1">
      <c r="A594" s="796" t="s">
        <v>204</v>
      </c>
      <c r="B594" s="796"/>
      <c r="C594" s="796"/>
      <c r="D594" s="796"/>
      <c r="E594" s="796"/>
      <c r="F594" s="796"/>
      <c r="G594" s="796"/>
      <c r="H594" s="796"/>
      <c r="I594" s="796"/>
      <c r="J594" s="796"/>
      <c r="K594" s="796"/>
      <c r="L594" s="796"/>
      <c r="M594" s="796"/>
      <c r="N594" s="796"/>
      <c r="O594" s="547"/>
      <c r="P594" s="547"/>
      <c r="Q594" s="548"/>
      <c r="R594" s="548">
        <f>R597</f>
        <v>42584630</v>
      </c>
      <c r="S594" s="548">
        <f>S597</f>
        <v>42584630</v>
      </c>
      <c r="T594" s="548">
        <f>T597</f>
        <v>42584630</v>
      </c>
      <c r="U594" s="114">
        <f aca="true" t="shared" si="149" ref="U594:Z594">U595+U598</f>
        <v>36207982</v>
      </c>
      <c r="V594" s="114">
        <f t="shared" si="149"/>
        <v>36207982</v>
      </c>
      <c r="W594" s="114">
        <f t="shared" si="149"/>
        <v>36207982</v>
      </c>
      <c r="X594" s="114">
        <f t="shared" si="149"/>
        <v>36207982</v>
      </c>
      <c r="Y594" s="114">
        <f t="shared" si="149"/>
        <v>36207982</v>
      </c>
      <c r="Z594" s="114">
        <f t="shared" si="149"/>
        <v>36207982</v>
      </c>
    </row>
    <row r="595" spans="1:26" s="5" customFormat="1" ht="409.5" customHeight="1">
      <c r="A595" s="836" t="s">
        <v>404</v>
      </c>
      <c r="B595" s="838" t="s">
        <v>6</v>
      </c>
      <c r="C595" s="838" t="s">
        <v>103</v>
      </c>
      <c r="D595" s="838" t="s">
        <v>205</v>
      </c>
      <c r="E595" s="838" t="s">
        <v>8</v>
      </c>
      <c r="F595" s="687" t="s">
        <v>206</v>
      </c>
      <c r="G595" s="838" t="s">
        <v>403</v>
      </c>
      <c r="H595" s="838" t="s">
        <v>9</v>
      </c>
      <c r="I595" s="840" t="s">
        <v>207</v>
      </c>
      <c r="J595" s="549">
        <f>J597</f>
        <v>37939119.8</v>
      </c>
      <c r="K595" s="160">
        <v>42452467</v>
      </c>
      <c r="L595" s="176" t="s">
        <v>11</v>
      </c>
      <c r="M595" s="834"/>
      <c r="N595" s="834"/>
      <c r="O595" s="550"/>
      <c r="P595" s="550"/>
      <c r="Q595" s="551"/>
      <c r="R595" s="551"/>
      <c r="S595" s="551"/>
      <c r="T595" s="551"/>
      <c r="U595" s="824">
        <f aca="true" t="shared" si="150" ref="U595:Z595">U597</f>
        <v>22995082</v>
      </c>
      <c r="V595" s="824">
        <f t="shared" si="150"/>
        <v>22995082</v>
      </c>
      <c r="W595" s="824">
        <f t="shared" si="150"/>
        <v>36207982</v>
      </c>
      <c r="X595" s="824">
        <f t="shared" si="150"/>
        <v>36207982</v>
      </c>
      <c r="Y595" s="824">
        <f t="shared" si="150"/>
        <v>36207982</v>
      </c>
      <c r="Z595" s="824">
        <f t="shared" si="150"/>
        <v>36207982</v>
      </c>
    </row>
    <row r="596" spans="1:26" s="5" customFormat="1" ht="123.75" customHeight="1">
      <c r="A596" s="837"/>
      <c r="B596" s="839"/>
      <c r="C596" s="839"/>
      <c r="D596" s="839"/>
      <c r="E596" s="839"/>
      <c r="F596" s="687"/>
      <c r="G596" s="839"/>
      <c r="H596" s="839"/>
      <c r="I596" s="841"/>
      <c r="J596" s="549"/>
      <c r="K596" s="160"/>
      <c r="L596" s="176"/>
      <c r="M596" s="835"/>
      <c r="N596" s="835"/>
      <c r="O596" s="550"/>
      <c r="P596" s="550"/>
      <c r="Q596" s="551"/>
      <c r="R596" s="551"/>
      <c r="S596" s="551"/>
      <c r="T596" s="551"/>
      <c r="U596" s="825"/>
      <c r="V596" s="825"/>
      <c r="W596" s="825"/>
      <c r="X596" s="825"/>
      <c r="Y596" s="825"/>
      <c r="Z596" s="825"/>
    </row>
    <row r="597" spans="1:26" s="5" customFormat="1" ht="84" customHeight="1">
      <c r="A597" s="552" t="s">
        <v>13</v>
      </c>
      <c r="B597" s="826"/>
      <c r="C597" s="827"/>
      <c r="D597" s="827"/>
      <c r="E597" s="827"/>
      <c r="F597" s="827"/>
      <c r="G597" s="827"/>
      <c r="H597" s="827"/>
      <c r="I597" s="168" t="s">
        <v>505</v>
      </c>
      <c r="J597" s="553">
        <v>37939119.8</v>
      </c>
      <c r="K597" s="553">
        <v>42452467</v>
      </c>
      <c r="L597" s="194" t="s">
        <v>11</v>
      </c>
      <c r="M597" s="168" t="s">
        <v>696</v>
      </c>
      <c r="N597" s="676" t="s">
        <v>620</v>
      </c>
      <c r="O597" s="554">
        <v>208</v>
      </c>
      <c r="P597" s="555">
        <v>204733.8</v>
      </c>
      <c r="Q597" s="556">
        <f>ROUND(O597*P597,0)</f>
        <v>42584630</v>
      </c>
      <c r="R597" s="557">
        <f>Q597</f>
        <v>42584630</v>
      </c>
      <c r="S597" s="556">
        <f>Q597</f>
        <v>42584630</v>
      </c>
      <c r="T597" s="556">
        <f>Q597</f>
        <v>42584630</v>
      </c>
      <c r="U597" s="88">
        <v>22995082</v>
      </c>
      <c r="V597" s="88">
        <f>U597</f>
        <v>22995082</v>
      </c>
      <c r="W597" s="88">
        <v>36207982</v>
      </c>
      <c r="X597" s="88">
        <f>W597</f>
        <v>36207982</v>
      </c>
      <c r="Y597" s="88">
        <v>36207982</v>
      </c>
      <c r="Z597" s="88">
        <f>Y597</f>
        <v>36207982</v>
      </c>
    </row>
    <row r="598" spans="1:26" s="5" customFormat="1" ht="403.5" customHeight="1">
      <c r="A598" s="172" t="s">
        <v>703</v>
      </c>
      <c r="B598" s="710">
        <v>811</v>
      </c>
      <c r="C598" s="712" t="s">
        <v>103</v>
      </c>
      <c r="D598" s="707" t="s">
        <v>706</v>
      </c>
      <c r="E598" s="707">
        <v>612</v>
      </c>
      <c r="F598" s="707"/>
      <c r="G598" s="711" t="s">
        <v>704</v>
      </c>
      <c r="H598" s="707">
        <v>1111</v>
      </c>
      <c r="I598" s="147" t="s">
        <v>705</v>
      </c>
      <c r="J598" s="160"/>
      <c r="K598" s="160"/>
      <c r="L598" s="176"/>
      <c r="M598" s="176"/>
      <c r="N598" s="708"/>
      <c r="O598" s="550"/>
      <c r="P598" s="183"/>
      <c r="Q598" s="551"/>
      <c r="R598" s="709"/>
      <c r="S598" s="551"/>
      <c r="T598" s="551"/>
      <c r="U598" s="92">
        <f aca="true" t="shared" si="151" ref="U598:Z598">U599</f>
        <v>13212900</v>
      </c>
      <c r="V598" s="92">
        <f t="shared" si="151"/>
        <v>13212900</v>
      </c>
      <c r="W598" s="92">
        <f t="shared" si="151"/>
        <v>0</v>
      </c>
      <c r="X598" s="92">
        <f t="shared" si="151"/>
        <v>0</v>
      </c>
      <c r="Y598" s="92">
        <f t="shared" si="151"/>
        <v>0</v>
      </c>
      <c r="Z598" s="92">
        <f t="shared" si="151"/>
        <v>0</v>
      </c>
    </row>
    <row r="599" spans="1:26" s="5" customFormat="1" ht="145.5" customHeight="1">
      <c r="A599" s="552" t="s">
        <v>13</v>
      </c>
      <c r="B599" s="696"/>
      <c r="C599" s="222"/>
      <c r="D599" s="222"/>
      <c r="E599" s="222"/>
      <c r="F599" s="222"/>
      <c r="G599" s="222"/>
      <c r="H599" s="222"/>
      <c r="I599" s="168" t="s">
        <v>505</v>
      </c>
      <c r="J599" s="553"/>
      <c r="K599" s="553"/>
      <c r="L599" s="194"/>
      <c r="M599" s="168" t="s">
        <v>696</v>
      </c>
      <c r="N599" s="676" t="s">
        <v>620</v>
      </c>
      <c r="O599" s="554"/>
      <c r="P599" s="555"/>
      <c r="Q599" s="556"/>
      <c r="R599" s="557"/>
      <c r="S599" s="556"/>
      <c r="T599" s="556"/>
      <c r="U599" s="88">
        <v>13212900</v>
      </c>
      <c r="V599" s="88">
        <v>13212900</v>
      </c>
      <c r="W599" s="88">
        <v>0</v>
      </c>
      <c r="X599" s="88">
        <v>0</v>
      </c>
      <c r="Y599" s="88">
        <v>0</v>
      </c>
      <c r="Z599" s="88">
        <v>0</v>
      </c>
    </row>
    <row r="600" spans="1:26" ht="99" customHeight="1">
      <c r="A600" s="796" t="s">
        <v>208</v>
      </c>
      <c r="B600" s="796"/>
      <c r="C600" s="796"/>
      <c r="D600" s="796"/>
      <c r="E600" s="796"/>
      <c r="F600" s="796"/>
      <c r="G600" s="796"/>
      <c r="H600" s="796"/>
      <c r="I600" s="796"/>
      <c r="J600" s="796"/>
      <c r="K600" s="796"/>
      <c r="L600" s="796"/>
      <c r="M600" s="796"/>
      <c r="N600" s="796"/>
      <c r="O600" s="558">
        <f>SUM(O603:O611)</f>
        <v>54</v>
      </c>
      <c r="P600" s="559"/>
      <c r="Q600" s="560">
        <f>SUM(Q603:Q611)</f>
        <v>4874316</v>
      </c>
      <c r="R600" s="560">
        <f>SUM(R603:R611)</f>
        <v>4874316</v>
      </c>
      <c r="S600" s="560">
        <f>SUM(S603:S611)</f>
        <v>6625716</v>
      </c>
      <c r="T600" s="560">
        <f>SUM(T603:T611)</f>
        <v>10945460</v>
      </c>
      <c r="U600" s="131">
        <f aca="true" t="shared" si="152" ref="U600:Z601">U601</f>
        <v>5295903</v>
      </c>
      <c r="V600" s="131">
        <f t="shared" si="152"/>
        <v>5295903</v>
      </c>
      <c r="W600" s="131">
        <f t="shared" si="152"/>
        <v>0</v>
      </c>
      <c r="X600" s="131">
        <f t="shared" si="152"/>
        <v>0</v>
      </c>
      <c r="Y600" s="131">
        <f t="shared" si="152"/>
        <v>0</v>
      </c>
      <c r="Z600" s="131">
        <f t="shared" si="152"/>
        <v>0</v>
      </c>
    </row>
    <row r="601" spans="1:26" ht="264.75" customHeight="1">
      <c r="A601" s="561" t="s">
        <v>209</v>
      </c>
      <c r="B601" s="629" t="s">
        <v>6</v>
      </c>
      <c r="C601" s="629" t="s">
        <v>7</v>
      </c>
      <c r="D601" s="629" t="s">
        <v>210</v>
      </c>
      <c r="E601" s="629" t="s">
        <v>8</v>
      </c>
      <c r="F601" s="629" t="s">
        <v>211</v>
      </c>
      <c r="G601" s="629" t="s">
        <v>405</v>
      </c>
      <c r="H601" s="629" t="s">
        <v>9</v>
      </c>
      <c r="I601" s="147" t="s">
        <v>229</v>
      </c>
      <c r="J601" s="562">
        <f>J603</f>
        <v>715778</v>
      </c>
      <c r="K601" s="160">
        <v>1612500</v>
      </c>
      <c r="L601" s="562"/>
      <c r="M601" s="562"/>
      <c r="N601" s="160"/>
      <c r="O601" s="160"/>
      <c r="P601" s="160"/>
      <c r="Q601" s="176"/>
      <c r="R601" s="176"/>
      <c r="S601" s="176"/>
      <c r="T601" s="176"/>
      <c r="U601" s="747">
        <f>U602</f>
        <v>5295903</v>
      </c>
      <c r="V601" s="747">
        <f t="shared" si="152"/>
        <v>5295903</v>
      </c>
      <c r="W601" s="747">
        <f t="shared" si="152"/>
        <v>0</v>
      </c>
      <c r="X601" s="747">
        <f t="shared" si="152"/>
        <v>0</v>
      </c>
      <c r="Y601" s="747">
        <f t="shared" si="152"/>
        <v>0</v>
      </c>
      <c r="Z601" s="747">
        <f t="shared" si="152"/>
        <v>0</v>
      </c>
    </row>
    <row r="602" spans="1:26" ht="36" customHeight="1">
      <c r="A602" s="828" t="s">
        <v>212</v>
      </c>
      <c r="B602" s="715"/>
      <c r="C602" s="716"/>
      <c r="D602" s="716"/>
      <c r="E602" s="716"/>
      <c r="F602" s="716"/>
      <c r="G602" s="716"/>
      <c r="H602" s="717"/>
      <c r="I602" s="830" t="s">
        <v>226</v>
      </c>
      <c r="J602" s="563"/>
      <c r="K602" s="22"/>
      <c r="L602" s="832" t="s">
        <v>231</v>
      </c>
      <c r="M602" s="563"/>
      <c r="N602" s="22"/>
      <c r="O602" s="22"/>
      <c r="P602" s="22"/>
      <c r="Q602" s="155"/>
      <c r="R602" s="155"/>
      <c r="S602" s="155"/>
      <c r="T602" s="155"/>
      <c r="U602" s="132">
        <f>U603+U604+U605+U606+U607+U608+U609+U610+U611+U612</f>
        <v>5295903</v>
      </c>
      <c r="V602" s="132">
        <f>V603+V604+V605+V606+V607+V608+V609+V610+V611+V612</f>
        <v>5295903</v>
      </c>
      <c r="W602" s="132">
        <f>W603+W604+W605+W606+W607+W608+W609+W610+W611</f>
        <v>0</v>
      </c>
      <c r="X602" s="132">
        <f>X603+X604+X605+X606+X607+X608+X609+X610+X611</f>
        <v>0</v>
      </c>
      <c r="Y602" s="132">
        <f>Y603+Y604+Y605+Y606+Y607+Y608+Y609+Y610+Y611</f>
        <v>0</v>
      </c>
      <c r="Z602" s="132">
        <f>Z603+Z604+Z605+Z606+Z607+Z608+Z609+Z610+Z611</f>
        <v>0</v>
      </c>
    </row>
    <row r="603" spans="1:26" s="729" customFormat="1" ht="233.25" customHeight="1">
      <c r="A603" s="829"/>
      <c r="B603" s="718"/>
      <c r="C603" s="719"/>
      <c r="D603" s="719"/>
      <c r="E603" s="719"/>
      <c r="F603" s="719"/>
      <c r="G603" s="719"/>
      <c r="H603" s="720"/>
      <c r="I603" s="831"/>
      <c r="J603" s="833">
        <v>715778</v>
      </c>
      <c r="K603" s="833">
        <v>1612500</v>
      </c>
      <c r="L603" s="832"/>
      <c r="M603" s="741" t="s">
        <v>319</v>
      </c>
      <c r="N603" s="721" t="s">
        <v>320</v>
      </c>
      <c r="O603" s="722">
        <v>1</v>
      </c>
      <c r="P603" s="723">
        <v>2500000</v>
      </c>
      <c r="Q603" s="724">
        <f>O603*P603</f>
        <v>2500000</v>
      </c>
      <c r="R603" s="725">
        <v>2500000</v>
      </c>
      <c r="S603" s="726">
        <v>2500000</v>
      </c>
      <c r="T603" s="726">
        <v>2500000</v>
      </c>
      <c r="U603" s="727">
        <v>2900000</v>
      </c>
      <c r="V603" s="727">
        <f>U603</f>
        <v>2900000</v>
      </c>
      <c r="W603" s="728">
        <v>0</v>
      </c>
      <c r="X603" s="728">
        <f>W603</f>
        <v>0</v>
      </c>
      <c r="Y603" s="728">
        <v>0</v>
      </c>
      <c r="Z603" s="739">
        <f>Y603</f>
        <v>0</v>
      </c>
    </row>
    <row r="604" spans="1:26" s="729" customFormat="1" ht="103.5" customHeight="1">
      <c r="A604" s="730"/>
      <c r="B604" s="718"/>
      <c r="C604" s="719"/>
      <c r="D604" s="719"/>
      <c r="E604" s="719"/>
      <c r="F604" s="719"/>
      <c r="G604" s="719"/>
      <c r="H604" s="720"/>
      <c r="I604" s="730"/>
      <c r="J604" s="833"/>
      <c r="K604" s="833"/>
      <c r="L604" s="832"/>
      <c r="M604" s="741" t="s">
        <v>725</v>
      </c>
      <c r="N604" s="721" t="s">
        <v>320</v>
      </c>
      <c r="O604" s="722">
        <v>4</v>
      </c>
      <c r="P604" s="723">
        <v>250000</v>
      </c>
      <c r="Q604" s="724">
        <f>O604*P604</f>
        <v>1000000</v>
      </c>
      <c r="R604" s="725">
        <f>Q604</f>
        <v>1000000</v>
      </c>
      <c r="S604" s="726">
        <v>1000000</v>
      </c>
      <c r="T604" s="726">
        <v>1000000</v>
      </c>
      <c r="U604" s="727">
        <v>900000</v>
      </c>
      <c r="V604" s="727">
        <f aca="true" t="shared" si="153" ref="V604:V612">U604</f>
        <v>900000</v>
      </c>
      <c r="W604" s="728">
        <v>0</v>
      </c>
      <c r="X604" s="728">
        <f aca="true" t="shared" si="154" ref="X604:X611">W604</f>
        <v>0</v>
      </c>
      <c r="Y604" s="728">
        <v>0</v>
      </c>
      <c r="Z604" s="739">
        <f aca="true" t="shared" si="155" ref="Z604:Z611">Y604</f>
        <v>0</v>
      </c>
    </row>
    <row r="605" spans="1:26" s="729" customFormat="1" ht="57.75" customHeight="1">
      <c r="A605" s="730"/>
      <c r="B605" s="718"/>
      <c r="C605" s="719"/>
      <c r="D605" s="719"/>
      <c r="E605" s="719"/>
      <c r="F605" s="719"/>
      <c r="G605" s="719"/>
      <c r="H605" s="720"/>
      <c r="I605" s="730"/>
      <c r="J605" s="833"/>
      <c r="K605" s="833"/>
      <c r="L605" s="832"/>
      <c r="M605" s="741" t="s">
        <v>321</v>
      </c>
      <c r="N605" s="721" t="s">
        <v>320</v>
      </c>
      <c r="O605" s="722">
        <v>2</v>
      </c>
      <c r="P605" s="723">
        <v>4000</v>
      </c>
      <c r="Q605" s="724">
        <f aca="true" t="shared" si="156" ref="Q605:Q611">O605*P605</f>
        <v>8000</v>
      </c>
      <c r="R605" s="725">
        <f aca="true" t="shared" si="157" ref="R605:R611">Q605</f>
        <v>8000</v>
      </c>
      <c r="S605" s="726">
        <v>8000</v>
      </c>
      <c r="T605" s="726">
        <v>4000</v>
      </c>
      <c r="U605" s="727">
        <v>8000</v>
      </c>
      <c r="V605" s="727">
        <f t="shared" si="153"/>
        <v>8000</v>
      </c>
      <c r="W605" s="728">
        <v>0</v>
      </c>
      <c r="X605" s="728">
        <f t="shared" si="154"/>
        <v>0</v>
      </c>
      <c r="Y605" s="728">
        <v>0</v>
      </c>
      <c r="Z605" s="739">
        <f t="shared" si="155"/>
        <v>0</v>
      </c>
    </row>
    <row r="606" spans="1:26" s="729" customFormat="1" ht="50.25" customHeight="1">
      <c r="A606" s="730"/>
      <c r="B606" s="718"/>
      <c r="C606" s="719"/>
      <c r="D606" s="719"/>
      <c r="E606" s="719"/>
      <c r="F606" s="719"/>
      <c r="G606" s="719"/>
      <c r="H606" s="720"/>
      <c r="I606" s="730"/>
      <c r="J606" s="833"/>
      <c r="K606" s="833"/>
      <c r="L606" s="832"/>
      <c r="M606" s="741" t="s">
        <v>322</v>
      </c>
      <c r="N606" s="721" t="s">
        <v>320</v>
      </c>
      <c r="O606" s="722">
        <v>1</v>
      </c>
      <c r="P606" s="723">
        <v>2000</v>
      </c>
      <c r="Q606" s="724">
        <f t="shared" si="156"/>
        <v>2000</v>
      </c>
      <c r="R606" s="725">
        <f t="shared" si="157"/>
        <v>2000</v>
      </c>
      <c r="S606" s="726">
        <v>6000</v>
      </c>
      <c r="T606" s="726">
        <v>6000</v>
      </c>
      <c r="U606" s="727">
        <v>2000</v>
      </c>
      <c r="V606" s="727">
        <f t="shared" si="153"/>
        <v>2000</v>
      </c>
      <c r="W606" s="728">
        <v>0</v>
      </c>
      <c r="X606" s="728">
        <f t="shared" si="154"/>
        <v>0</v>
      </c>
      <c r="Y606" s="728">
        <v>0</v>
      </c>
      <c r="Z606" s="739">
        <f t="shared" si="155"/>
        <v>0</v>
      </c>
    </row>
    <row r="607" spans="1:26" s="729" customFormat="1" ht="209.25" customHeight="1">
      <c r="A607" s="730"/>
      <c r="B607" s="718"/>
      <c r="C607" s="719"/>
      <c r="D607" s="719"/>
      <c r="E607" s="719"/>
      <c r="F607" s="719"/>
      <c r="G607" s="719"/>
      <c r="H607" s="720"/>
      <c r="I607" s="730"/>
      <c r="J607" s="833"/>
      <c r="K607" s="833"/>
      <c r="L607" s="832"/>
      <c r="M607" s="741" t="s">
        <v>719</v>
      </c>
      <c r="N607" s="721" t="s">
        <v>320</v>
      </c>
      <c r="O607" s="731">
        <v>3</v>
      </c>
      <c r="P607" s="732">
        <v>80000</v>
      </c>
      <c r="Q607" s="725">
        <f t="shared" si="156"/>
        <v>240000</v>
      </c>
      <c r="R607" s="725">
        <f t="shared" si="157"/>
        <v>240000</v>
      </c>
      <c r="S607" s="725">
        <v>800000</v>
      </c>
      <c r="T607" s="733">
        <v>880000</v>
      </c>
      <c r="U607" s="739">
        <v>420000</v>
      </c>
      <c r="V607" s="727">
        <f t="shared" si="153"/>
        <v>420000</v>
      </c>
      <c r="W607" s="728">
        <v>0</v>
      </c>
      <c r="X607" s="728">
        <f t="shared" si="154"/>
        <v>0</v>
      </c>
      <c r="Y607" s="728">
        <v>0</v>
      </c>
      <c r="Z607" s="739">
        <f t="shared" si="155"/>
        <v>0</v>
      </c>
    </row>
    <row r="608" spans="1:26" s="729" customFormat="1" ht="83.25" customHeight="1">
      <c r="A608" s="730"/>
      <c r="B608" s="718"/>
      <c r="C608" s="719"/>
      <c r="D608" s="719"/>
      <c r="E608" s="719"/>
      <c r="F608" s="719"/>
      <c r="G608" s="719"/>
      <c r="H608" s="720"/>
      <c r="I608" s="730"/>
      <c r="J608" s="833"/>
      <c r="K608" s="833"/>
      <c r="L608" s="832"/>
      <c r="M608" s="741" t="s">
        <v>718</v>
      </c>
      <c r="N608" s="721" t="s">
        <v>320</v>
      </c>
      <c r="O608" s="731">
        <v>3</v>
      </c>
      <c r="P608" s="732">
        <v>100000</v>
      </c>
      <c r="Q608" s="725">
        <f t="shared" si="156"/>
        <v>300000</v>
      </c>
      <c r="R608" s="725">
        <f t="shared" si="157"/>
        <v>300000</v>
      </c>
      <c r="S608" s="725">
        <v>1360000</v>
      </c>
      <c r="T608" s="733">
        <v>2660000</v>
      </c>
      <c r="U608" s="739">
        <v>120000</v>
      </c>
      <c r="V608" s="727">
        <f t="shared" si="153"/>
        <v>120000</v>
      </c>
      <c r="W608" s="728">
        <v>0</v>
      </c>
      <c r="X608" s="728">
        <f t="shared" si="154"/>
        <v>0</v>
      </c>
      <c r="Y608" s="728">
        <v>0</v>
      </c>
      <c r="Z608" s="739">
        <f t="shared" si="155"/>
        <v>0</v>
      </c>
    </row>
    <row r="609" spans="1:26" s="729" customFormat="1" ht="170.25" customHeight="1">
      <c r="A609" s="730"/>
      <c r="B609" s="718"/>
      <c r="C609" s="719"/>
      <c r="D609" s="719"/>
      <c r="E609" s="719"/>
      <c r="F609" s="719"/>
      <c r="G609" s="719"/>
      <c r="H609" s="720"/>
      <c r="I609" s="730"/>
      <c r="J609" s="833"/>
      <c r="K609" s="833"/>
      <c r="L609" s="832"/>
      <c r="M609" s="741" t="s">
        <v>323</v>
      </c>
      <c r="N609" s="721" t="s">
        <v>320</v>
      </c>
      <c r="O609" s="731">
        <v>37</v>
      </c>
      <c r="P609" s="732">
        <v>9800</v>
      </c>
      <c r="Q609" s="725">
        <f t="shared" si="156"/>
        <v>362600</v>
      </c>
      <c r="R609" s="725">
        <f t="shared" si="157"/>
        <v>362600</v>
      </c>
      <c r="S609" s="725">
        <v>490000</v>
      </c>
      <c r="T609" s="733">
        <v>3704400</v>
      </c>
      <c r="U609" s="739">
        <v>362600</v>
      </c>
      <c r="V609" s="727">
        <f t="shared" si="153"/>
        <v>362600</v>
      </c>
      <c r="W609" s="728">
        <v>0</v>
      </c>
      <c r="X609" s="728">
        <f t="shared" si="154"/>
        <v>0</v>
      </c>
      <c r="Y609" s="728">
        <v>0</v>
      </c>
      <c r="Z609" s="739">
        <f t="shared" si="155"/>
        <v>0</v>
      </c>
    </row>
    <row r="610" spans="1:26" s="729" customFormat="1" ht="36.75" customHeight="1">
      <c r="A610" s="730"/>
      <c r="B610" s="718"/>
      <c r="C610" s="719"/>
      <c r="D610" s="719"/>
      <c r="E610" s="719"/>
      <c r="F610" s="719"/>
      <c r="G610" s="719"/>
      <c r="H610" s="720"/>
      <c r="I610" s="730"/>
      <c r="J610" s="813"/>
      <c r="K610" s="814">
        <v>0</v>
      </c>
      <c r="L610" s="815"/>
      <c r="M610" s="741" t="s">
        <v>717</v>
      </c>
      <c r="N610" s="721" t="s">
        <v>320</v>
      </c>
      <c r="O610" s="731">
        <v>2</v>
      </c>
      <c r="P610" s="732">
        <v>191060</v>
      </c>
      <c r="Q610" s="725">
        <f t="shared" si="156"/>
        <v>382120</v>
      </c>
      <c r="R610" s="725">
        <f t="shared" si="157"/>
        <v>382120</v>
      </c>
      <c r="S610" s="725">
        <v>382120</v>
      </c>
      <c r="T610" s="733">
        <v>191060</v>
      </c>
      <c r="U610" s="734">
        <v>403707</v>
      </c>
      <c r="V610" s="727">
        <f t="shared" si="153"/>
        <v>403707</v>
      </c>
      <c r="W610" s="728">
        <v>0</v>
      </c>
      <c r="X610" s="728">
        <f t="shared" si="154"/>
        <v>0</v>
      </c>
      <c r="Y610" s="728">
        <v>0</v>
      </c>
      <c r="Z610" s="739">
        <f t="shared" si="155"/>
        <v>0</v>
      </c>
    </row>
    <row r="611" spans="1:26" s="729" customFormat="1" ht="113.25" customHeight="1">
      <c r="A611" s="735"/>
      <c r="B611" s="736"/>
      <c r="C611" s="737"/>
      <c r="D611" s="737"/>
      <c r="E611" s="737"/>
      <c r="F611" s="737"/>
      <c r="G611" s="737"/>
      <c r="H611" s="738"/>
      <c r="I611" s="735"/>
      <c r="J611" s="813"/>
      <c r="K611" s="814"/>
      <c r="L611" s="815"/>
      <c r="M611" s="741" t="s">
        <v>324</v>
      </c>
      <c r="N611" s="721" t="s">
        <v>320</v>
      </c>
      <c r="O611" s="732">
        <v>1</v>
      </c>
      <c r="P611" s="732">
        <v>79596</v>
      </c>
      <c r="Q611" s="725">
        <f t="shared" si="156"/>
        <v>79596</v>
      </c>
      <c r="R611" s="725">
        <f t="shared" si="157"/>
        <v>79596</v>
      </c>
      <c r="S611" s="725">
        <v>79596</v>
      </c>
      <c r="T611" s="725">
        <v>0</v>
      </c>
      <c r="U611" s="739">
        <v>79596</v>
      </c>
      <c r="V611" s="727">
        <f t="shared" si="153"/>
        <v>79596</v>
      </c>
      <c r="W611" s="728">
        <v>0</v>
      </c>
      <c r="X611" s="728">
        <f t="shared" si="154"/>
        <v>0</v>
      </c>
      <c r="Y611" s="728">
        <v>0</v>
      </c>
      <c r="Z611" s="739">
        <f t="shared" si="155"/>
        <v>0</v>
      </c>
    </row>
    <row r="612" spans="1:26" s="729" customFormat="1" ht="60" customHeight="1">
      <c r="A612" s="761"/>
      <c r="B612" s="737"/>
      <c r="C612" s="737"/>
      <c r="D612" s="737"/>
      <c r="E612" s="737"/>
      <c r="F612" s="737"/>
      <c r="G612" s="737"/>
      <c r="H612" s="737"/>
      <c r="I612" s="762"/>
      <c r="J612" s="763"/>
      <c r="K612" s="764"/>
      <c r="L612" s="765"/>
      <c r="M612" s="766" t="s">
        <v>726</v>
      </c>
      <c r="N612" s="721"/>
      <c r="O612" s="732"/>
      <c r="P612" s="732"/>
      <c r="Q612" s="725"/>
      <c r="R612" s="725"/>
      <c r="S612" s="725"/>
      <c r="T612" s="725"/>
      <c r="U612" s="739">
        <v>100000</v>
      </c>
      <c r="V612" s="727">
        <f t="shared" si="153"/>
        <v>100000</v>
      </c>
      <c r="W612" s="728">
        <v>0</v>
      </c>
      <c r="X612" s="728">
        <v>0</v>
      </c>
      <c r="Y612" s="728">
        <v>0</v>
      </c>
      <c r="Z612" s="739">
        <v>0</v>
      </c>
    </row>
    <row r="613" spans="1:26" ht="69.75" customHeight="1">
      <c r="A613" s="816" t="s">
        <v>213</v>
      </c>
      <c r="B613" s="817"/>
      <c r="C613" s="817"/>
      <c r="D613" s="817"/>
      <c r="E613" s="817"/>
      <c r="F613" s="817"/>
      <c r="G613" s="817"/>
      <c r="H613" s="817"/>
      <c r="I613" s="817"/>
      <c r="J613" s="817"/>
      <c r="K613" s="817"/>
      <c r="L613" s="817"/>
      <c r="M613" s="818"/>
      <c r="N613" s="677"/>
      <c r="O613" s="564"/>
      <c r="P613" s="564"/>
      <c r="Q613" s="135" t="e">
        <f>#REF!+Q614+Q616</f>
        <v>#REF!</v>
      </c>
      <c r="R613" s="135" t="e">
        <f>#REF!+R614+R616</f>
        <v>#REF!</v>
      </c>
      <c r="S613" s="135" t="e">
        <f>#REF!+S614+S616</f>
        <v>#REF!</v>
      </c>
      <c r="T613" s="135" t="e">
        <f>#REF!+T614+T616</f>
        <v>#REF!</v>
      </c>
      <c r="U613" s="135">
        <f aca="true" t="shared" si="158" ref="U613:Z613">U614+U616</f>
        <v>150000</v>
      </c>
      <c r="V613" s="135">
        <f t="shared" si="158"/>
        <v>150000</v>
      </c>
      <c r="W613" s="135">
        <f t="shared" si="158"/>
        <v>0</v>
      </c>
      <c r="X613" s="135">
        <f t="shared" si="158"/>
        <v>0</v>
      </c>
      <c r="Y613" s="135">
        <f t="shared" si="158"/>
        <v>0</v>
      </c>
      <c r="Z613" s="135">
        <f t="shared" si="158"/>
        <v>0</v>
      </c>
    </row>
    <row r="614" spans="1:26" ht="409.5" customHeight="1">
      <c r="A614" s="377" t="s">
        <v>215</v>
      </c>
      <c r="B614" s="685" t="s">
        <v>6</v>
      </c>
      <c r="C614" s="685" t="s">
        <v>7</v>
      </c>
      <c r="D614" s="685" t="s">
        <v>216</v>
      </c>
      <c r="E614" s="685" t="s">
        <v>8</v>
      </c>
      <c r="F614" s="685" t="s">
        <v>217</v>
      </c>
      <c r="G614" s="685" t="s">
        <v>501</v>
      </c>
      <c r="H614" s="685" t="s">
        <v>9</v>
      </c>
      <c r="I614" s="216" t="s">
        <v>218</v>
      </c>
      <c r="J614" s="217">
        <v>50000</v>
      </c>
      <c r="K614" s="565">
        <v>37500</v>
      </c>
      <c r="L614" s="566"/>
      <c r="M614" s="566"/>
      <c r="N614" s="622"/>
      <c r="O614" s="567"/>
      <c r="P614" s="567"/>
      <c r="Q614" s="565">
        <f aca="true" t="shared" si="159" ref="Q614:Z614">Q615</f>
        <v>122000</v>
      </c>
      <c r="R614" s="565">
        <f t="shared" si="159"/>
        <v>122000</v>
      </c>
      <c r="S614" s="565">
        <f t="shared" si="159"/>
        <v>122000</v>
      </c>
      <c r="T614" s="565">
        <f t="shared" si="159"/>
        <v>122000</v>
      </c>
      <c r="U614" s="136">
        <f t="shared" si="159"/>
        <v>50000</v>
      </c>
      <c r="V614" s="136">
        <f t="shared" si="159"/>
        <v>50000</v>
      </c>
      <c r="W614" s="136">
        <f t="shared" si="159"/>
        <v>0</v>
      </c>
      <c r="X614" s="136">
        <f t="shared" si="159"/>
        <v>0</v>
      </c>
      <c r="Y614" s="136">
        <f t="shared" si="159"/>
        <v>0</v>
      </c>
      <c r="Z614" s="136">
        <f t="shared" si="159"/>
        <v>0</v>
      </c>
    </row>
    <row r="615" spans="1:26" ht="165" customHeight="1">
      <c r="A615" s="186" t="s">
        <v>60</v>
      </c>
      <c r="B615" s="822"/>
      <c r="C615" s="822"/>
      <c r="D615" s="822"/>
      <c r="E615" s="822"/>
      <c r="F615" s="822"/>
      <c r="G615" s="822"/>
      <c r="H615" s="822"/>
      <c r="I615" s="351" t="s">
        <v>219</v>
      </c>
      <c r="J615" s="568">
        <v>50000</v>
      </c>
      <c r="K615" s="569">
        <v>37500</v>
      </c>
      <c r="L615" s="406" t="s">
        <v>15</v>
      </c>
      <c r="M615" s="351" t="s">
        <v>325</v>
      </c>
      <c r="N615" s="623" t="s">
        <v>320</v>
      </c>
      <c r="O615" s="570">
        <v>6100</v>
      </c>
      <c r="P615" s="570">
        <v>20</v>
      </c>
      <c r="Q615" s="569">
        <f>O615*P615</f>
        <v>122000</v>
      </c>
      <c r="R615" s="571">
        <f>Q615</f>
        <v>122000</v>
      </c>
      <c r="S615" s="571">
        <f>R615</f>
        <v>122000</v>
      </c>
      <c r="T615" s="571">
        <f>S615</f>
        <v>122000</v>
      </c>
      <c r="U615" s="88">
        <v>50000</v>
      </c>
      <c r="V615" s="88">
        <f>U615</f>
        <v>50000</v>
      </c>
      <c r="W615" s="88">
        <v>0</v>
      </c>
      <c r="X615" s="88">
        <v>0</v>
      </c>
      <c r="Y615" s="88">
        <f>X615</f>
        <v>0</v>
      </c>
      <c r="Z615" s="88">
        <f>Y615</f>
        <v>0</v>
      </c>
    </row>
    <row r="616" spans="1:26" ht="409.5" customHeight="1">
      <c r="A616" s="572" t="s">
        <v>215</v>
      </c>
      <c r="B616" s="684" t="s">
        <v>6</v>
      </c>
      <c r="C616" s="684" t="s">
        <v>7</v>
      </c>
      <c r="D616" s="684" t="s">
        <v>220</v>
      </c>
      <c r="E616" s="684" t="s">
        <v>8</v>
      </c>
      <c r="F616" s="684" t="s">
        <v>217</v>
      </c>
      <c r="G616" s="684" t="s">
        <v>501</v>
      </c>
      <c r="H616" s="684" t="s">
        <v>9</v>
      </c>
      <c r="I616" s="573" t="s">
        <v>221</v>
      </c>
      <c r="J616" s="418">
        <v>110000</v>
      </c>
      <c r="K616" s="565">
        <v>82500</v>
      </c>
      <c r="L616" s="574"/>
      <c r="M616" s="574"/>
      <c r="N616" s="678"/>
      <c r="O616" s="567"/>
      <c r="P616" s="567"/>
      <c r="Q616" s="565" t="e">
        <f>Q617+#REF!</f>
        <v>#REF!</v>
      </c>
      <c r="R616" s="565" t="e">
        <f>R617+#REF!</f>
        <v>#REF!</v>
      </c>
      <c r="S616" s="565" t="e">
        <f>S617+#REF!</f>
        <v>#REF!</v>
      </c>
      <c r="T616" s="565" t="e">
        <f>T617+#REF!</f>
        <v>#REF!</v>
      </c>
      <c r="U616" s="136">
        <f aca="true" t="shared" si="160" ref="U616:Z616">U617</f>
        <v>100000</v>
      </c>
      <c r="V616" s="136">
        <f t="shared" si="160"/>
        <v>100000</v>
      </c>
      <c r="W616" s="136">
        <f t="shared" si="160"/>
        <v>0</v>
      </c>
      <c r="X616" s="136">
        <f t="shared" si="160"/>
        <v>0</v>
      </c>
      <c r="Y616" s="136">
        <f t="shared" si="160"/>
        <v>0</v>
      </c>
      <c r="Z616" s="136">
        <f t="shared" si="160"/>
        <v>0</v>
      </c>
    </row>
    <row r="617" spans="1:26" ht="197.25" customHeight="1">
      <c r="A617" s="186" t="s">
        <v>60</v>
      </c>
      <c r="B617" s="823"/>
      <c r="C617" s="823"/>
      <c r="D617" s="823"/>
      <c r="E617" s="823"/>
      <c r="F617" s="823"/>
      <c r="G617" s="823"/>
      <c r="H617" s="823"/>
      <c r="I617" s="351" t="s">
        <v>222</v>
      </c>
      <c r="J617" s="568">
        <v>110000</v>
      </c>
      <c r="K617" s="575">
        <v>82500</v>
      </c>
      <c r="L617" s="406" t="s">
        <v>11</v>
      </c>
      <c r="M617" s="576" t="s">
        <v>683</v>
      </c>
      <c r="N617" s="623" t="s">
        <v>320</v>
      </c>
      <c r="O617" s="577">
        <v>15000</v>
      </c>
      <c r="P617" s="578">
        <v>29</v>
      </c>
      <c r="Q617" s="479">
        <f>O617*P617</f>
        <v>435000</v>
      </c>
      <c r="R617" s="571">
        <f>Q617</f>
        <v>435000</v>
      </c>
      <c r="S617" s="571">
        <f>R617</f>
        <v>435000</v>
      </c>
      <c r="T617" s="571">
        <f>S617</f>
        <v>435000</v>
      </c>
      <c r="U617" s="88">
        <v>100000</v>
      </c>
      <c r="V617" s="88">
        <f>U617</f>
        <v>100000</v>
      </c>
      <c r="W617" s="88">
        <v>0</v>
      </c>
      <c r="X617" s="88">
        <v>0</v>
      </c>
      <c r="Y617" s="88">
        <v>0</v>
      </c>
      <c r="Z617" s="88">
        <v>0</v>
      </c>
    </row>
    <row r="618" spans="1:26" ht="63.75" customHeight="1">
      <c r="A618" s="819" t="s">
        <v>526</v>
      </c>
      <c r="B618" s="819"/>
      <c r="C618" s="819"/>
      <c r="D618" s="819"/>
      <c r="E618" s="819"/>
      <c r="F618" s="819"/>
      <c r="G618" s="819"/>
      <c r="H618" s="819"/>
      <c r="I618" s="819"/>
      <c r="J618" s="819"/>
      <c r="K618" s="819"/>
      <c r="L618" s="819"/>
      <c r="M618" s="819"/>
      <c r="N618" s="679"/>
      <c r="O618" s="579"/>
      <c r="P618" s="579"/>
      <c r="Q618" s="579"/>
      <c r="R618" s="579"/>
      <c r="S618" s="579"/>
      <c r="T618" s="579"/>
      <c r="U618" s="137">
        <f aca="true" t="shared" si="161" ref="U618:Z618">U619+U629</f>
        <v>5026800</v>
      </c>
      <c r="V618" s="137">
        <f t="shared" si="161"/>
        <v>5026800</v>
      </c>
      <c r="W618" s="137">
        <f t="shared" si="161"/>
        <v>0</v>
      </c>
      <c r="X618" s="137">
        <f t="shared" si="161"/>
        <v>0</v>
      </c>
      <c r="Y618" s="137">
        <f t="shared" si="161"/>
        <v>0</v>
      </c>
      <c r="Z618" s="137">
        <f t="shared" si="161"/>
        <v>0</v>
      </c>
    </row>
    <row r="619" spans="1:26" ht="243" customHeight="1">
      <c r="A619" s="704" t="s">
        <v>535</v>
      </c>
      <c r="B619" s="683" t="s">
        <v>6</v>
      </c>
      <c r="C619" s="683" t="s">
        <v>103</v>
      </c>
      <c r="D619" s="683" t="s">
        <v>536</v>
      </c>
      <c r="E619" s="683" t="s">
        <v>8</v>
      </c>
      <c r="F619" s="683"/>
      <c r="G619" s="683" t="s">
        <v>537</v>
      </c>
      <c r="H619" s="683" t="s">
        <v>9</v>
      </c>
      <c r="I619" s="704" t="s">
        <v>538</v>
      </c>
      <c r="J619" s="683"/>
      <c r="K619" s="683"/>
      <c r="L619" s="683"/>
      <c r="M619" s="683"/>
      <c r="N619" s="705"/>
      <c r="O619" s="683"/>
      <c r="P619" s="683"/>
      <c r="Q619" s="683"/>
      <c r="R619" s="683"/>
      <c r="S619" s="683"/>
      <c r="T619" s="683"/>
      <c r="U619" s="706">
        <f aca="true" t="shared" si="162" ref="U619:Z619">U620+U621+U622+U624+U625+U627+U628+U623+U626</f>
        <v>1670200</v>
      </c>
      <c r="V619" s="706">
        <f t="shared" si="162"/>
        <v>1670200</v>
      </c>
      <c r="W619" s="706">
        <f t="shared" si="162"/>
        <v>0</v>
      </c>
      <c r="X619" s="706">
        <f t="shared" si="162"/>
        <v>0</v>
      </c>
      <c r="Y619" s="706">
        <f t="shared" si="162"/>
        <v>0</v>
      </c>
      <c r="Z619" s="706">
        <f t="shared" si="162"/>
        <v>0</v>
      </c>
    </row>
    <row r="620" spans="1:26" ht="100.5" customHeight="1">
      <c r="A620" s="748" t="s">
        <v>539</v>
      </c>
      <c r="B620" s="820"/>
      <c r="C620" s="820"/>
      <c r="D620" s="820"/>
      <c r="E620" s="820"/>
      <c r="F620" s="820"/>
      <c r="G620" s="820"/>
      <c r="H620" s="820"/>
      <c r="I620" s="748" t="s">
        <v>541</v>
      </c>
      <c r="J620" s="581"/>
      <c r="K620" s="582"/>
      <c r="L620" s="820"/>
      <c r="M620" s="583"/>
      <c r="N620" s="681"/>
      <c r="O620" s="582"/>
      <c r="P620" s="582"/>
      <c r="Q620" s="585"/>
      <c r="R620" s="585"/>
      <c r="S620" s="585"/>
      <c r="T620" s="585"/>
      <c r="U620" s="138">
        <v>100000</v>
      </c>
      <c r="V620" s="138">
        <f>U620</f>
        <v>100000</v>
      </c>
      <c r="W620" s="139">
        <v>0</v>
      </c>
      <c r="X620" s="139">
        <f>W620</f>
        <v>0</v>
      </c>
      <c r="Y620" s="139">
        <v>0</v>
      </c>
      <c r="Z620" s="88">
        <f>Y620</f>
        <v>0</v>
      </c>
    </row>
    <row r="621" spans="1:26" ht="123.75" customHeight="1">
      <c r="A621" s="748" t="s">
        <v>540</v>
      </c>
      <c r="B621" s="820"/>
      <c r="C621" s="820"/>
      <c r="D621" s="820"/>
      <c r="E621" s="820"/>
      <c r="F621" s="820"/>
      <c r="G621" s="820"/>
      <c r="H621" s="820"/>
      <c r="I621" s="748" t="s">
        <v>542</v>
      </c>
      <c r="J621" s="581"/>
      <c r="K621" s="582"/>
      <c r="L621" s="820"/>
      <c r="M621" s="583"/>
      <c r="N621" s="681"/>
      <c r="O621" s="582"/>
      <c r="P621" s="582"/>
      <c r="Q621" s="585"/>
      <c r="R621" s="585"/>
      <c r="S621" s="585"/>
      <c r="T621" s="585"/>
      <c r="U621" s="138">
        <v>402700</v>
      </c>
      <c r="V621" s="138">
        <f aca="true" t="shared" si="163" ref="V621:V628">U621</f>
        <v>402700</v>
      </c>
      <c r="W621" s="139">
        <v>0</v>
      </c>
      <c r="X621" s="139">
        <f aca="true" t="shared" si="164" ref="X621:X628">W621</f>
        <v>0</v>
      </c>
      <c r="Y621" s="139">
        <v>0</v>
      </c>
      <c r="Z621" s="88">
        <f aca="true" t="shared" si="165" ref="Z621:Z628">Y621</f>
        <v>0</v>
      </c>
    </row>
    <row r="622" spans="1:26" ht="65.25" customHeight="1">
      <c r="A622" s="821" t="s">
        <v>464</v>
      </c>
      <c r="B622" s="820"/>
      <c r="C622" s="820"/>
      <c r="D622" s="820"/>
      <c r="E622" s="820"/>
      <c r="F622" s="820"/>
      <c r="G622" s="820"/>
      <c r="H622" s="820"/>
      <c r="I622" s="248" t="s">
        <v>543</v>
      </c>
      <c r="J622" s="581"/>
      <c r="K622" s="582"/>
      <c r="L622" s="820"/>
      <c r="M622" s="583"/>
      <c r="N622" s="681"/>
      <c r="O622" s="582"/>
      <c r="P622" s="582"/>
      <c r="Q622" s="585"/>
      <c r="R622" s="585"/>
      <c r="S622" s="585"/>
      <c r="T622" s="585"/>
      <c r="U622" s="138">
        <v>60000</v>
      </c>
      <c r="V622" s="138">
        <f t="shared" si="163"/>
        <v>60000</v>
      </c>
      <c r="W622" s="139">
        <v>0</v>
      </c>
      <c r="X622" s="139">
        <f t="shared" si="164"/>
        <v>0</v>
      </c>
      <c r="Y622" s="139">
        <v>0</v>
      </c>
      <c r="Z622" s="88">
        <f t="shared" si="165"/>
        <v>0</v>
      </c>
    </row>
    <row r="623" spans="1:26" ht="84" customHeight="1">
      <c r="A623" s="821"/>
      <c r="B623" s="820"/>
      <c r="C623" s="820"/>
      <c r="D623" s="820"/>
      <c r="E623" s="820"/>
      <c r="F623" s="820"/>
      <c r="G623" s="820"/>
      <c r="H623" s="820"/>
      <c r="I623" s="248" t="s">
        <v>544</v>
      </c>
      <c r="J623" s="581"/>
      <c r="K623" s="582"/>
      <c r="L623" s="820"/>
      <c r="M623" s="583"/>
      <c r="N623" s="681"/>
      <c r="O623" s="582"/>
      <c r="P623" s="582"/>
      <c r="Q623" s="585"/>
      <c r="R623" s="585"/>
      <c r="S623" s="585"/>
      <c r="T623" s="585"/>
      <c r="U623" s="138">
        <v>140000</v>
      </c>
      <c r="V623" s="138">
        <f t="shared" si="163"/>
        <v>140000</v>
      </c>
      <c r="W623" s="139">
        <v>0</v>
      </c>
      <c r="X623" s="139">
        <f t="shared" si="164"/>
        <v>0</v>
      </c>
      <c r="Y623" s="139">
        <v>0</v>
      </c>
      <c r="Z623" s="88">
        <f t="shared" si="165"/>
        <v>0</v>
      </c>
    </row>
    <row r="624" spans="1:26" ht="82.5" customHeight="1">
      <c r="A624" s="748" t="s">
        <v>465</v>
      </c>
      <c r="B624" s="820"/>
      <c r="C624" s="820"/>
      <c r="D624" s="820"/>
      <c r="E624" s="820"/>
      <c r="F624" s="820"/>
      <c r="G624" s="820"/>
      <c r="H624" s="820"/>
      <c r="I624" s="248" t="s">
        <v>545</v>
      </c>
      <c r="J624" s="581"/>
      <c r="K624" s="582"/>
      <c r="L624" s="820"/>
      <c r="M624" s="583"/>
      <c r="N624" s="681"/>
      <c r="O624" s="582"/>
      <c r="P624" s="582"/>
      <c r="Q624" s="585"/>
      <c r="R624" s="585"/>
      <c r="S624" s="585"/>
      <c r="T624" s="585"/>
      <c r="U624" s="138">
        <v>400000</v>
      </c>
      <c r="V624" s="138">
        <f t="shared" si="163"/>
        <v>400000</v>
      </c>
      <c r="W624" s="139">
        <v>0</v>
      </c>
      <c r="X624" s="139">
        <f t="shared" si="164"/>
        <v>0</v>
      </c>
      <c r="Y624" s="139">
        <v>0</v>
      </c>
      <c r="Z624" s="88">
        <f t="shared" si="165"/>
        <v>0</v>
      </c>
    </row>
    <row r="625" spans="1:26" ht="63" customHeight="1">
      <c r="A625" s="821" t="s">
        <v>391</v>
      </c>
      <c r="B625" s="820"/>
      <c r="C625" s="820"/>
      <c r="D625" s="820"/>
      <c r="E625" s="820"/>
      <c r="F625" s="820"/>
      <c r="G625" s="820"/>
      <c r="H625" s="820"/>
      <c r="I625" s="748" t="s">
        <v>546</v>
      </c>
      <c r="J625" s="581"/>
      <c r="K625" s="582"/>
      <c r="L625" s="820"/>
      <c r="M625" s="583"/>
      <c r="N625" s="681"/>
      <c r="O625" s="582"/>
      <c r="P625" s="582"/>
      <c r="Q625" s="585"/>
      <c r="R625" s="585"/>
      <c r="S625" s="585"/>
      <c r="T625" s="585"/>
      <c r="U625" s="138">
        <v>200000</v>
      </c>
      <c r="V625" s="138">
        <f t="shared" si="163"/>
        <v>200000</v>
      </c>
      <c r="W625" s="139">
        <v>0</v>
      </c>
      <c r="X625" s="139">
        <f t="shared" si="164"/>
        <v>0</v>
      </c>
      <c r="Y625" s="139">
        <v>0</v>
      </c>
      <c r="Z625" s="88">
        <f t="shared" si="165"/>
        <v>0</v>
      </c>
    </row>
    <row r="626" spans="1:26" ht="62.25" customHeight="1">
      <c r="A626" s="821"/>
      <c r="B626" s="820"/>
      <c r="C626" s="820"/>
      <c r="D626" s="820"/>
      <c r="E626" s="820"/>
      <c r="F626" s="820"/>
      <c r="G626" s="820"/>
      <c r="H626" s="820"/>
      <c r="I626" s="748" t="s">
        <v>547</v>
      </c>
      <c r="J626" s="581"/>
      <c r="K626" s="582"/>
      <c r="L626" s="820"/>
      <c r="M626" s="583"/>
      <c r="N626" s="681"/>
      <c r="O626" s="582"/>
      <c r="P626" s="582"/>
      <c r="Q626" s="585"/>
      <c r="R626" s="585"/>
      <c r="S626" s="585"/>
      <c r="T626" s="585"/>
      <c r="U626" s="138">
        <v>110000</v>
      </c>
      <c r="V626" s="138">
        <f t="shared" si="163"/>
        <v>110000</v>
      </c>
      <c r="W626" s="139">
        <v>0</v>
      </c>
      <c r="X626" s="139">
        <f t="shared" si="164"/>
        <v>0</v>
      </c>
      <c r="Y626" s="139">
        <v>0</v>
      </c>
      <c r="Z626" s="88">
        <f t="shared" si="165"/>
        <v>0</v>
      </c>
    </row>
    <row r="627" spans="1:26" ht="108.75" customHeight="1">
      <c r="A627" s="748" t="s">
        <v>261</v>
      </c>
      <c r="B627" s="820"/>
      <c r="C627" s="820"/>
      <c r="D627" s="820"/>
      <c r="E627" s="820"/>
      <c r="F627" s="820"/>
      <c r="G627" s="820"/>
      <c r="H627" s="820"/>
      <c r="I627" s="248" t="s">
        <v>548</v>
      </c>
      <c r="J627" s="581"/>
      <c r="K627" s="582"/>
      <c r="L627" s="820"/>
      <c r="M627" s="583"/>
      <c r="N627" s="681"/>
      <c r="O627" s="582"/>
      <c r="P627" s="582"/>
      <c r="Q627" s="585"/>
      <c r="R627" s="585"/>
      <c r="S627" s="585"/>
      <c r="T627" s="585"/>
      <c r="U627" s="138">
        <v>150000</v>
      </c>
      <c r="V627" s="138">
        <f t="shared" si="163"/>
        <v>150000</v>
      </c>
      <c r="W627" s="139">
        <v>0</v>
      </c>
      <c r="X627" s="139">
        <f t="shared" si="164"/>
        <v>0</v>
      </c>
      <c r="Y627" s="139">
        <v>0</v>
      </c>
      <c r="Z627" s="88">
        <f t="shared" si="165"/>
        <v>0</v>
      </c>
    </row>
    <row r="628" spans="1:26" ht="84" customHeight="1">
      <c r="A628" s="748" t="s">
        <v>145</v>
      </c>
      <c r="B628" s="820"/>
      <c r="C628" s="820"/>
      <c r="D628" s="820"/>
      <c r="E628" s="820"/>
      <c r="F628" s="820"/>
      <c r="G628" s="820"/>
      <c r="H628" s="820"/>
      <c r="I628" s="248" t="s">
        <v>549</v>
      </c>
      <c r="J628" s="581"/>
      <c r="K628" s="582"/>
      <c r="L628" s="820"/>
      <c r="M628" s="583"/>
      <c r="N628" s="681"/>
      <c r="O628" s="582"/>
      <c r="P628" s="582"/>
      <c r="Q628" s="585"/>
      <c r="R628" s="585"/>
      <c r="S628" s="585"/>
      <c r="T628" s="585"/>
      <c r="U628" s="138">
        <v>107500</v>
      </c>
      <c r="V628" s="138">
        <f t="shared" si="163"/>
        <v>107500</v>
      </c>
      <c r="W628" s="139">
        <v>0</v>
      </c>
      <c r="X628" s="139">
        <f t="shared" si="164"/>
        <v>0</v>
      </c>
      <c r="Y628" s="139">
        <v>0</v>
      </c>
      <c r="Z628" s="88">
        <f t="shared" si="165"/>
        <v>0</v>
      </c>
    </row>
    <row r="629" spans="1:26" ht="209.25" customHeight="1">
      <c r="A629" s="682" t="s">
        <v>534</v>
      </c>
      <c r="B629" s="683" t="s">
        <v>6</v>
      </c>
      <c r="C629" s="683" t="s">
        <v>20</v>
      </c>
      <c r="D629" s="683" t="s">
        <v>536</v>
      </c>
      <c r="E629" s="683" t="s">
        <v>8</v>
      </c>
      <c r="F629" s="683"/>
      <c r="G629" s="683" t="s">
        <v>537</v>
      </c>
      <c r="H629" s="683" t="s">
        <v>9</v>
      </c>
      <c r="I629" s="682" t="s">
        <v>538</v>
      </c>
      <c r="J629" s="683"/>
      <c r="K629" s="683"/>
      <c r="L629" s="683"/>
      <c r="M629" s="683"/>
      <c r="N629" s="680"/>
      <c r="O629" s="580"/>
      <c r="P629" s="580"/>
      <c r="Q629" s="580"/>
      <c r="R629" s="580"/>
      <c r="S629" s="580"/>
      <c r="T629" s="580"/>
      <c r="U629" s="140">
        <f aca="true" t="shared" si="166" ref="U629:Z629">SUM(U630:U650)</f>
        <v>3356600</v>
      </c>
      <c r="V629" s="140">
        <f t="shared" si="166"/>
        <v>3356600</v>
      </c>
      <c r="W629" s="140">
        <f t="shared" si="166"/>
        <v>0</v>
      </c>
      <c r="X629" s="140">
        <f t="shared" si="166"/>
        <v>0</v>
      </c>
      <c r="Y629" s="140">
        <f t="shared" si="166"/>
        <v>0</v>
      </c>
      <c r="Z629" s="140">
        <f t="shared" si="166"/>
        <v>0</v>
      </c>
    </row>
    <row r="630" spans="1:26" ht="115.5" customHeight="1">
      <c r="A630" s="743" t="s">
        <v>540</v>
      </c>
      <c r="B630" s="584"/>
      <c r="C630" s="584"/>
      <c r="D630" s="584"/>
      <c r="E630" s="584"/>
      <c r="F630" s="584"/>
      <c r="G630" s="586"/>
      <c r="H630" s="584"/>
      <c r="I630" s="743" t="s">
        <v>542</v>
      </c>
      <c r="J630" s="581"/>
      <c r="K630" s="582"/>
      <c r="L630" s="584"/>
      <c r="M630" s="583"/>
      <c r="N630" s="681"/>
      <c r="O630" s="582"/>
      <c r="P630" s="582"/>
      <c r="Q630" s="585"/>
      <c r="R630" s="585"/>
      <c r="S630" s="585"/>
      <c r="T630" s="585"/>
      <c r="U630" s="138">
        <v>37300</v>
      </c>
      <c r="V630" s="138">
        <f>U630</f>
        <v>37300</v>
      </c>
      <c r="W630" s="134">
        <v>0</v>
      </c>
      <c r="X630" s="134">
        <f>W630</f>
        <v>0</v>
      </c>
      <c r="Y630" s="134">
        <v>0</v>
      </c>
      <c r="Z630" s="88">
        <f>Y630</f>
        <v>0</v>
      </c>
    </row>
    <row r="631" spans="1:26" ht="102" customHeight="1">
      <c r="A631" s="743" t="s">
        <v>463</v>
      </c>
      <c r="B631" s="584"/>
      <c r="C631" s="584"/>
      <c r="D631" s="584"/>
      <c r="E631" s="584"/>
      <c r="F631" s="584"/>
      <c r="G631" s="586"/>
      <c r="H631" s="584"/>
      <c r="I631" s="186" t="s">
        <v>552</v>
      </c>
      <c r="J631" s="581"/>
      <c r="K631" s="582"/>
      <c r="L631" s="584"/>
      <c r="M631" s="583"/>
      <c r="N631" s="681"/>
      <c r="O631" s="582"/>
      <c r="P631" s="582"/>
      <c r="Q631" s="585"/>
      <c r="R631" s="585"/>
      <c r="S631" s="585"/>
      <c r="T631" s="585"/>
      <c r="U631" s="138">
        <v>50000</v>
      </c>
      <c r="V631" s="138">
        <f aca="true" t="shared" si="167" ref="V631:V650">U631</f>
        <v>50000</v>
      </c>
      <c r="W631" s="134">
        <v>0</v>
      </c>
      <c r="X631" s="134">
        <f aca="true" t="shared" si="168" ref="X631:X650">W631</f>
        <v>0</v>
      </c>
      <c r="Y631" s="134">
        <v>0</v>
      </c>
      <c r="Z631" s="88">
        <f aca="true" t="shared" si="169" ref="Z631:Z650">Y631</f>
        <v>0</v>
      </c>
    </row>
    <row r="632" spans="1:26" ht="68.25" customHeight="1">
      <c r="A632" s="743" t="s">
        <v>23</v>
      </c>
      <c r="B632" s="584"/>
      <c r="C632" s="584"/>
      <c r="D632" s="584"/>
      <c r="E632" s="584"/>
      <c r="F632" s="584"/>
      <c r="G632" s="586"/>
      <c r="H632" s="584"/>
      <c r="I632" s="186" t="s">
        <v>553</v>
      </c>
      <c r="J632" s="581"/>
      <c r="K632" s="582"/>
      <c r="L632" s="584"/>
      <c r="M632" s="583"/>
      <c r="N632" s="681"/>
      <c r="O632" s="582"/>
      <c r="P632" s="582"/>
      <c r="Q632" s="585"/>
      <c r="R632" s="585"/>
      <c r="S632" s="585"/>
      <c r="T632" s="585"/>
      <c r="U632" s="138">
        <v>200000</v>
      </c>
      <c r="V632" s="138">
        <f t="shared" si="167"/>
        <v>200000</v>
      </c>
      <c r="W632" s="134">
        <v>0</v>
      </c>
      <c r="X632" s="134">
        <f t="shared" si="168"/>
        <v>0</v>
      </c>
      <c r="Y632" s="134">
        <v>0</v>
      </c>
      <c r="Z632" s="88">
        <f t="shared" si="169"/>
        <v>0</v>
      </c>
    </row>
    <row r="633" spans="1:26" ht="51.75" customHeight="1">
      <c r="A633" s="812" t="s">
        <v>199</v>
      </c>
      <c r="B633" s="584"/>
      <c r="C633" s="584"/>
      <c r="D633" s="584"/>
      <c r="E633" s="584"/>
      <c r="F633" s="584"/>
      <c r="G633" s="586"/>
      <c r="H633" s="584"/>
      <c r="I633" s="186" t="s">
        <v>554</v>
      </c>
      <c r="J633" s="581"/>
      <c r="K633" s="582"/>
      <c r="L633" s="584"/>
      <c r="M633" s="583"/>
      <c r="N633" s="681"/>
      <c r="O633" s="582"/>
      <c r="P633" s="582"/>
      <c r="Q633" s="585"/>
      <c r="R633" s="585"/>
      <c r="S633" s="585"/>
      <c r="T633" s="585"/>
      <c r="U633" s="138">
        <v>320000</v>
      </c>
      <c r="V633" s="138">
        <f t="shared" si="167"/>
        <v>320000</v>
      </c>
      <c r="W633" s="134">
        <v>0</v>
      </c>
      <c r="X633" s="134">
        <f t="shared" si="168"/>
        <v>0</v>
      </c>
      <c r="Y633" s="134">
        <v>0</v>
      </c>
      <c r="Z633" s="88">
        <f t="shared" si="169"/>
        <v>0</v>
      </c>
    </row>
    <row r="634" spans="1:26" ht="147" customHeight="1">
      <c r="A634" s="812"/>
      <c r="B634" s="584"/>
      <c r="C634" s="584"/>
      <c r="D634" s="584"/>
      <c r="E634" s="584"/>
      <c r="F634" s="584"/>
      <c r="G634" s="586"/>
      <c r="H634" s="584"/>
      <c r="I634" s="186" t="s">
        <v>555</v>
      </c>
      <c r="J634" s="581"/>
      <c r="K634" s="582"/>
      <c r="L634" s="584"/>
      <c r="M634" s="583"/>
      <c r="N634" s="681"/>
      <c r="O634" s="582"/>
      <c r="P634" s="582"/>
      <c r="Q634" s="585"/>
      <c r="R634" s="585"/>
      <c r="S634" s="585"/>
      <c r="T634" s="585"/>
      <c r="U634" s="138">
        <v>100000</v>
      </c>
      <c r="V634" s="138">
        <f t="shared" si="167"/>
        <v>100000</v>
      </c>
      <c r="W634" s="134">
        <v>0</v>
      </c>
      <c r="X634" s="134">
        <f t="shared" si="168"/>
        <v>0</v>
      </c>
      <c r="Y634" s="134">
        <v>0</v>
      </c>
      <c r="Z634" s="88">
        <f t="shared" si="169"/>
        <v>0</v>
      </c>
    </row>
    <row r="635" spans="1:26" ht="88.5" customHeight="1">
      <c r="A635" s="812"/>
      <c r="B635" s="584"/>
      <c r="C635" s="584"/>
      <c r="D635" s="584"/>
      <c r="E635" s="584"/>
      <c r="F635" s="584"/>
      <c r="G635" s="586"/>
      <c r="H635" s="584"/>
      <c r="I635" s="186" t="s">
        <v>556</v>
      </c>
      <c r="J635" s="581"/>
      <c r="K635" s="582"/>
      <c r="L635" s="584"/>
      <c r="M635" s="583"/>
      <c r="N635" s="681"/>
      <c r="O635" s="582"/>
      <c r="P635" s="582"/>
      <c r="Q635" s="585"/>
      <c r="R635" s="585"/>
      <c r="S635" s="585"/>
      <c r="T635" s="585"/>
      <c r="U635" s="138">
        <v>300000</v>
      </c>
      <c r="V635" s="138">
        <f t="shared" si="167"/>
        <v>300000</v>
      </c>
      <c r="W635" s="134">
        <v>0</v>
      </c>
      <c r="X635" s="134">
        <f t="shared" si="168"/>
        <v>0</v>
      </c>
      <c r="Y635" s="134">
        <v>0</v>
      </c>
      <c r="Z635" s="88">
        <f t="shared" si="169"/>
        <v>0</v>
      </c>
    </row>
    <row r="636" spans="1:26" ht="104.25" customHeight="1">
      <c r="A636" s="812" t="s">
        <v>465</v>
      </c>
      <c r="B636" s="584"/>
      <c r="C636" s="584"/>
      <c r="D636" s="584"/>
      <c r="E636" s="584"/>
      <c r="F636" s="584"/>
      <c r="G636" s="586"/>
      <c r="H636" s="584"/>
      <c r="I636" s="186" t="s">
        <v>557</v>
      </c>
      <c r="J636" s="581"/>
      <c r="K636" s="582"/>
      <c r="L636" s="584"/>
      <c r="M636" s="583"/>
      <c r="N636" s="681"/>
      <c r="O636" s="582"/>
      <c r="P636" s="582"/>
      <c r="Q636" s="585"/>
      <c r="R636" s="585"/>
      <c r="S636" s="585"/>
      <c r="T636" s="585"/>
      <c r="U636" s="138">
        <v>951800</v>
      </c>
      <c r="V636" s="138">
        <f t="shared" si="167"/>
        <v>951800</v>
      </c>
      <c r="W636" s="134">
        <v>0</v>
      </c>
      <c r="X636" s="134">
        <f t="shared" si="168"/>
        <v>0</v>
      </c>
      <c r="Y636" s="134">
        <v>0</v>
      </c>
      <c r="Z636" s="88">
        <f t="shared" si="169"/>
        <v>0</v>
      </c>
    </row>
    <row r="637" spans="1:26" ht="84.75" customHeight="1">
      <c r="A637" s="812"/>
      <c r="B637" s="584"/>
      <c r="C637" s="584"/>
      <c r="D637" s="584"/>
      <c r="E637" s="584"/>
      <c r="F637" s="584"/>
      <c r="G637" s="586"/>
      <c r="H637" s="584"/>
      <c r="I637" s="186" t="s">
        <v>558</v>
      </c>
      <c r="J637" s="581"/>
      <c r="K637" s="582"/>
      <c r="L637" s="584"/>
      <c r="M637" s="583"/>
      <c r="N637" s="681"/>
      <c r="O637" s="582"/>
      <c r="P637" s="582"/>
      <c r="Q637" s="585"/>
      <c r="R637" s="585"/>
      <c r="S637" s="585"/>
      <c r="T637" s="585"/>
      <c r="U637" s="138">
        <v>70000</v>
      </c>
      <c r="V637" s="138">
        <f t="shared" si="167"/>
        <v>70000</v>
      </c>
      <c r="W637" s="134">
        <v>0</v>
      </c>
      <c r="X637" s="134">
        <f t="shared" si="168"/>
        <v>0</v>
      </c>
      <c r="Y637" s="134">
        <v>0</v>
      </c>
      <c r="Z637" s="88">
        <f t="shared" si="169"/>
        <v>0</v>
      </c>
    </row>
    <row r="638" spans="1:26" ht="101.25">
      <c r="A638" s="743" t="s">
        <v>550</v>
      </c>
      <c r="B638" s="584"/>
      <c r="C638" s="584"/>
      <c r="D638" s="584"/>
      <c r="E638" s="584"/>
      <c r="F638" s="584"/>
      <c r="G638" s="586"/>
      <c r="H638" s="584"/>
      <c r="I638" s="186" t="s">
        <v>559</v>
      </c>
      <c r="J638" s="581"/>
      <c r="K638" s="582"/>
      <c r="L638" s="584"/>
      <c r="M638" s="583"/>
      <c r="N638" s="681"/>
      <c r="O638" s="582"/>
      <c r="P638" s="582"/>
      <c r="Q638" s="585"/>
      <c r="R638" s="585"/>
      <c r="S638" s="585"/>
      <c r="T638" s="585"/>
      <c r="U638" s="138">
        <v>60000</v>
      </c>
      <c r="V638" s="138">
        <f t="shared" si="167"/>
        <v>60000</v>
      </c>
      <c r="W638" s="134">
        <v>0</v>
      </c>
      <c r="X638" s="134">
        <f t="shared" si="168"/>
        <v>0</v>
      </c>
      <c r="Y638" s="134">
        <v>0</v>
      </c>
      <c r="Z638" s="88">
        <f t="shared" si="169"/>
        <v>0</v>
      </c>
    </row>
    <row r="639" spans="1:26" ht="108.75" customHeight="1">
      <c r="A639" s="743" t="s">
        <v>147</v>
      </c>
      <c r="B639" s="584"/>
      <c r="C639" s="584"/>
      <c r="D639" s="584"/>
      <c r="E639" s="584"/>
      <c r="F639" s="584"/>
      <c r="G639" s="586"/>
      <c r="H639" s="584"/>
      <c r="I639" s="186" t="s">
        <v>560</v>
      </c>
      <c r="J639" s="581"/>
      <c r="K639" s="582"/>
      <c r="L639" s="584"/>
      <c r="M639" s="583"/>
      <c r="N639" s="681"/>
      <c r="O639" s="582"/>
      <c r="P639" s="582"/>
      <c r="Q639" s="585"/>
      <c r="R639" s="585"/>
      <c r="S639" s="585"/>
      <c r="T639" s="585"/>
      <c r="U639" s="138">
        <v>90000</v>
      </c>
      <c r="V639" s="138">
        <f t="shared" si="167"/>
        <v>90000</v>
      </c>
      <c r="W639" s="134">
        <v>0</v>
      </c>
      <c r="X639" s="134">
        <f t="shared" si="168"/>
        <v>0</v>
      </c>
      <c r="Y639" s="134">
        <v>0</v>
      </c>
      <c r="Z639" s="88">
        <f t="shared" si="169"/>
        <v>0</v>
      </c>
    </row>
    <row r="640" spans="1:26" ht="88.5" customHeight="1">
      <c r="A640" s="743" t="s">
        <v>145</v>
      </c>
      <c r="B640" s="584"/>
      <c r="C640" s="584"/>
      <c r="D640" s="584"/>
      <c r="E640" s="584"/>
      <c r="F640" s="584"/>
      <c r="G640" s="586"/>
      <c r="H640" s="584"/>
      <c r="I640" s="186" t="s">
        <v>549</v>
      </c>
      <c r="J640" s="581"/>
      <c r="K640" s="582"/>
      <c r="L640" s="584"/>
      <c r="M640" s="583"/>
      <c r="N640" s="681"/>
      <c r="O640" s="582"/>
      <c r="P640" s="582"/>
      <c r="Q640" s="585"/>
      <c r="R640" s="585"/>
      <c r="S640" s="585"/>
      <c r="T640" s="585"/>
      <c r="U640" s="138">
        <v>107500</v>
      </c>
      <c r="V640" s="138">
        <f t="shared" si="167"/>
        <v>107500</v>
      </c>
      <c r="W640" s="134">
        <v>0</v>
      </c>
      <c r="X640" s="134">
        <f t="shared" si="168"/>
        <v>0</v>
      </c>
      <c r="Y640" s="134">
        <v>0</v>
      </c>
      <c r="Z640" s="88">
        <f t="shared" si="169"/>
        <v>0</v>
      </c>
    </row>
    <row r="641" spans="1:26" ht="43.5" customHeight="1">
      <c r="A641" s="812" t="s">
        <v>551</v>
      </c>
      <c r="B641" s="584"/>
      <c r="C641" s="584"/>
      <c r="D641" s="584"/>
      <c r="E641" s="584"/>
      <c r="F641" s="584"/>
      <c r="G641" s="586"/>
      <c r="H641" s="584"/>
      <c r="I641" s="186" t="s">
        <v>561</v>
      </c>
      <c r="J641" s="581"/>
      <c r="K641" s="582"/>
      <c r="L641" s="584"/>
      <c r="M641" s="583"/>
      <c r="N641" s="681"/>
      <c r="O641" s="582"/>
      <c r="P641" s="582"/>
      <c r="Q641" s="585"/>
      <c r="R641" s="585"/>
      <c r="S641" s="585"/>
      <c r="T641" s="585"/>
      <c r="U641" s="138">
        <v>200000</v>
      </c>
      <c r="V641" s="138">
        <f t="shared" si="167"/>
        <v>200000</v>
      </c>
      <c r="W641" s="134">
        <v>0</v>
      </c>
      <c r="X641" s="134">
        <f t="shared" si="168"/>
        <v>0</v>
      </c>
      <c r="Y641" s="134">
        <v>0</v>
      </c>
      <c r="Z641" s="88">
        <f t="shared" si="169"/>
        <v>0</v>
      </c>
    </row>
    <row r="642" spans="1:26" ht="45" customHeight="1">
      <c r="A642" s="812"/>
      <c r="B642" s="584"/>
      <c r="C642" s="584"/>
      <c r="D642" s="584"/>
      <c r="E642" s="584"/>
      <c r="F642" s="584"/>
      <c r="G642" s="586"/>
      <c r="H642" s="584"/>
      <c r="I642" s="186" t="s">
        <v>562</v>
      </c>
      <c r="J642" s="581"/>
      <c r="K642" s="582"/>
      <c r="L642" s="584"/>
      <c r="M642" s="583"/>
      <c r="N642" s="681"/>
      <c r="O642" s="582"/>
      <c r="P642" s="582"/>
      <c r="Q642" s="585"/>
      <c r="R642" s="585"/>
      <c r="S642" s="585"/>
      <c r="T642" s="585"/>
      <c r="U642" s="138">
        <v>200000</v>
      </c>
      <c r="V642" s="138">
        <f t="shared" si="167"/>
        <v>200000</v>
      </c>
      <c r="W642" s="134">
        <v>0</v>
      </c>
      <c r="X642" s="134">
        <f t="shared" si="168"/>
        <v>0</v>
      </c>
      <c r="Y642" s="134">
        <v>0</v>
      </c>
      <c r="Z642" s="88">
        <f t="shared" si="169"/>
        <v>0</v>
      </c>
    </row>
    <row r="643" spans="1:26" ht="45.75" customHeight="1">
      <c r="A643" s="812" t="s">
        <v>466</v>
      </c>
      <c r="B643" s="584"/>
      <c r="C643" s="584"/>
      <c r="D643" s="584"/>
      <c r="E643" s="584"/>
      <c r="F643" s="584"/>
      <c r="G643" s="586"/>
      <c r="H643" s="584"/>
      <c r="I643" s="186" t="s">
        <v>563</v>
      </c>
      <c r="J643" s="581"/>
      <c r="K643" s="582"/>
      <c r="L643" s="584"/>
      <c r="M643" s="583"/>
      <c r="N643" s="681"/>
      <c r="O643" s="582"/>
      <c r="P643" s="582"/>
      <c r="Q643" s="585"/>
      <c r="R643" s="585"/>
      <c r="S643" s="585"/>
      <c r="T643" s="585"/>
      <c r="U643" s="138">
        <v>50000</v>
      </c>
      <c r="V643" s="138">
        <f t="shared" si="167"/>
        <v>50000</v>
      </c>
      <c r="W643" s="134">
        <v>0</v>
      </c>
      <c r="X643" s="134">
        <f t="shared" si="168"/>
        <v>0</v>
      </c>
      <c r="Y643" s="134">
        <v>0</v>
      </c>
      <c r="Z643" s="88">
        <f t="shared" si="169"/>
        <v>0</v>
      </c>
    </row>
    <row r="644" spans="1:26" ht="48" customHeight="1">
      <c r="A644" s="812"/>
      <c r="B644" s="584"/>
      <c r="C644" s="584"/>
      <c r="D644" s="584"/>
      <c r="E644" s="584"/>
      <c r="F644" s="584"/>
      <c r="G644" s="586"/>
      <c r="H644" s="584"/>
      <c r="I644" s="186" t="s">
        <v>564</v>
      </c>
      <c r="J644" s="581"/>
      <c r="K644" s="582"/>
      <c r="L644" s="584"/>
      <c r="M644" s="583"/>
      <c r="N644" s="681"/>
      <c r="O644" s="582"/>
      <c r="P644" s="582"/>
      <c r="Q644" s="585"/>
      <c r="R644" s="585"/>
      <c r="S644" s="585"/>
      <c r="T644" s="585"/>
      <c r="U644" s="138">
        <v>100000</v>
      </c>
      <c r="V644" s="138">
        <f t="shared" si="167"/>
        <v>100000</v>
      </c>
      <c r="W644" s="134">
        <v>0</v>
      </c>
      <c r="X644" s="134">
        <f t="shared" si="168"/>
        <v>0</v>
      </c>
      <c r="Y644" s="134">
        <v>0</v>
      </c>
      <c r="Z644" s="88">
        <f t="shared" si="169"/>
        <v>0</v>
      </c>
    </row>
    <row r="645" spans="1:26" ht="48" customHeight="1">
      <c r="A645" s="812" t="s">
        <v>49</v>
      </c>
      <c r="B645" s="584"/>
      <c r="C645" s="584"/>
      <c r="D645" s="584"/>
      <c r="E645" s="584"/>
      <c r="F645" s="584"/>
      <c r="G645" s="586"/>
      <c r="H645" s="584"/>
      <c r="I645" s="186" t="s">
        <v>565</v>
      </c>
      <c r="J645" s="581"/>
      <c r="K645" s="582"/>
      <c r="L645" s="584"/>
      <c r="M645" s="583"/>
      <c r="N645" s="681"/>
      <c r="O645" s="582"/>
      <c r="P645" s="582"/>
      <c r="Q645" s="585"/>
      <c r="R645" s="585"/>
      <c r="S645" s="585"/>
      <c r="T645" s="585"/>
      <c r="U645" s="138">
        <v>100000</v>
      </c>
      <c r="V645" s="138">
        <f t="shared" si="167"/>
        <v>100000</v>
      </c>
      <c r="W645" s="134">
        <v>0</v>
      </c>
      <c r="X645" s="134">
        <f t="shared" si="168"/>
        <v>0</v>
      </c>
      <c r="Y645" s="134">
        <v>0</v>
      </c>
      <c r="Z645" s="88">
        <f t="shared" si="169"/>
        <v>0</v>
      </c>
    </row>
    <row r="646" spans="1:26" ht="46.5" customHeight="1">
      <c r="A646" s="812"/>
      <c r="B646" s="584"/>
      <c r="C646" s="584"/>
      <c r="D646" s="584"/>
      <c r="E646" s="584"/>
      <c r="F646" s="584"/>
      <c r="G646" s="586"/>
      <c r="H646" s="584"/>
      <c r="I646" s="186" t="s">
        <v>566</v>
      </c>
      <c r="J646" s="581"/>
      <c r="K646" s="582"/>
      <c r="L646" s="584"/>
      <c r="M646" s="583"/>
      <c r="N646" s="681"/>
      <c r="O646" s="582"/>
      <c r="P646" s="582"/>
      <c r="Q646" s="585"/>
      <c r="R646" s="585"/>
      <c r="S646" s="585"/>
      <c r="T646" s="585"/>
      <c r="U646" s="138">
        <v>100000</v>
      </c>
      <c r="V646" s="138">
        <f t="shared" si="167"/>
        <v>100000</v>
      </c>
      <c r="W646" s="134">
        <v>0</v>
      </c>
      <c r="X646" s="134">
        <f t="shared" si="168"/>
        <v>0</v>
      </c>
      <c r="Y646" s="134">
        <v>0</v>
      </c>
      <c r="Z646" s="88">
        <f t="shared" si="169"/>
        <v>0</v>
      </c>
    </row>
    <row r="647" spans="1:26" ht="113.25" customHeight="1">
      <c r="A647" s="812" t="s">
        <v>125</v>
      </c>
      <c r="B647" s="584"/>
      <c r="C647" s="584"/>
      <c r="D647" s="584"/>
      <c r="E647" s="584"/>
      <c r="F647" s="584"/>
      <c r="G647" s="586"/>
      <c r="H647" s="584"/>
      <c r="I647" s="186" t="s">
        <v>567</v>
      </c>
      <c r="J647" s="581"/>
      <c r="K647" s="582"/>
      <c r="L647" s="584"/>
      <c r="M647" s="583"/>
      <c r="N647" s="681"/>
      <c r="O647" s="582"/>
      <c r="P647" s="582"/>
      <c r="Q647" s="585"/>
      <c r="R647" s="585"/>
      <c r="S647" s="585"/>
      <c r="T647" s="585"/>
      <c r="U647" s="138">
        <v>83000</v>
      </c>
      <c r="V647" s="138">
        <f t="shared" si="167"/>
        <v>83000</v>
      </c>
      <c r="W647" s="134">
        <v>0</v>
      </c>
      <c r="X647" s="134">
        <f t="shared" si="168"/>
        <v>0</v>
      </c>
      <c r="Y647" s="134">
        <v>0</v>
      </c>
      <c r="Z647" s="88">
        <f t="shared" si="169"/>
        <v>0</v>
      </c>
    </row>
    <row r="648" spans="1:26" ht="79.5" customHeight="1">
      <c r="A648" s="812"/>
      <c r="B648" s="584"/>
      <c r="C648" s="584"/>
      <c r="D648" s="584"/>
      <c r="E648" s="584"/>
      <c r="F648" s="584"/>
      <c r="G648" s="586"/>
      <c r="H648" s="584"/>
      <c r="I648" s="186" t="s">
        <v>568</v>
      </c>
      <c r="J648" s="581"/>
      <c r="K648" s="582"/>
      <c r="L648" s="584"/>
      <c r="M648" s="583"/>
      <c r="N648" s="681"/>
      <c r="O648" s="582"/>
      <c r="P648" s="582"/>
      <c r="Q648" s="585"/>
      <c r="R648" s="585"/>
      <c r="S648" s="585"/>
      <c r="T648" s="585"/>
      <c r="U648" s="138">
        <v>100000</v>
      </c>
      <c r="V648" s="138">
        <f t="shared" si="167"/>
        <v>100000</v>
      </c>
      <c r="W648" s="134">
        <v>0</v>
      </c>
      <c r="X648" s="134">
        <f t="shared" si="168"/>
        <v>0</v>
      </c>
      <c r="Y648" s="134">
        <v>0</v>
      </c>
      <c r="Z648" s="88">
        <f t="shared" si="169"/>
        <v>0</v>
      </c>
    </row>
    <row r="649" spans="1:26" ht="63" customHeight="1">
      <c r="A649" s="812"/>
      <c r="B649" s="584"/>
      <c r="C649" s="584"/>
      <c r="D649" s="584"/>
      <c r="E649" s="584"/>
      <c r="F649" s="584"/>
      <c r="G649" s="586"/>
      <c r="H649" s="584"/>
      <c r="I649" s="186" t="s">
        <v>569</v>
      </c>
      <c r="J649" s="581"/>
      <c r="K649" s="582"/>
      <c r="L649" s="584"/>
      <c r="M649" s="583"/>
      <c r="N649" s="681"/>
      <c r="O649" s="582"/>
      <c r="P649" s="582"/>
      <c r="Q649" s="585"/>
      <c r="R649" s="585"/>
      <c r="S649" s="585"/>
      <c r="T649" s="585"/>
      <c r="U649" s="138">
        <v>80000</v>
      </c>
      <c r="V649" s="138">
        <f t="shared" si="167"/>
        <v>80000</v>
      </c>
      <c r="W649" s="134">
        <v>0</v>
      </c>
      <c r="X649" s="134">
        <f t="shared" si="168"/>
        <v>0</v>
      </c>
      <c r="Y649" s="134">
        <v>0</v>
      </c>
      <c r="Z649" s="88">
        <f t="shared" si="169"/>
        <v>0</v>
      </c>
    </row>
    <row r="650" spans="1:26" ht="91.5" customHeight="1">
      <c r="A650" s="743" t="s">
        <v>143</v>
      </c>
      <c r="B650" s="584"/>
      <c r="C650" s="584"/>
      <c r="D650" s="584"/>
      <c r="E650" s="584"/>
      <c r="F650" s="584"/>
      <c r="G650" s="586"/>
      <c r="H650" s="584"/>
      <c r="I650" s="186" t="s">
        <v>570</v>
      </c>
      <c r="J650" s="581"/>
      <c r="K650" s="582"/>
      <c r="L650" s="584"/>
      <c r="M650" s="583"/>
      <c r="N650" s="681"/>
      <c r="O650" s="582"/>
      <c r="P650" s="582"/>
      <c r="Q650" s="585"/>
      <c r="R650" s="585"/>
      <c r="S650" s="585"/>
      <c r="T650" s="585"/>
      <c r="U650" s="138">
        <v>57000</v>
      </c>
      <c r="V650" s="138">
        <f t="shared" si="167"/>
        <v>57000</v>
      </c>
      <c r="W650" s="134">
        <v>0</v>
      </c>
      <c r="X650" s="134">
        <f t="shared" si="168"/>
        <v>0</v>
      </c>
      <c r="Y650" s="134">
        <v>0</v>
      </c>
      <c r="Z650" s="88">
        <f t="shared" si="169"/>
        <v>0</v>
      </c>
    </row>
  </sheetData>
  <sheetProtection/>
  <mergeCells count="389">
    <mergeCell ref="M1:Z1"/>
    <mergeCell ref="N2:Z2"/>
    <mergeCell ref="A4:Z4"/>
    <mergeCell ref="A5:T5"/>
    <mergeCell ref="A6:A7"/>
    <mergeCell ref="W6:X6"/>
    <mergeCell ref="J6:J7"/>
    <mergeCell ref="K6:K7"/>
    <mergeCell ref="L6:Q7"/>
    <mergeCell ref="R6:T6"/>
    <mergeCell ref="I308:I309"/>
    <mergeCell ref="B308:H309"/>
    <mergeCell ref="A8:N8"/>
    <mergeCell ref="A9:N9"/>
    <mergeCell ref="A10:N10"/>
    <mergeCell ref="A12:N12"/>
    <mergeCell ref="A13:Y13"/>
    <mergeCell ref="A17:A22"/>
    <mergeCell ref="B17:H22"/>
    <mergeCell ref="B24:H25"/>
    <mergeCell ref="Y6:Z6"/>
    <mergeCell ref="B6:H7"/>
    <mergeCell ref="I6:I7"/>
    <mergeCell ref="U6:V6"/>
    <mergeCell ref="A14:N14"/>
    <mergeCell ref="A15:N15"/>
    <mergeCell ref="A11:N11"/>
    <mergeCell ref="K27:K29"/>
    <mergeCell ref="L27:L29"/>
    <mergeCell ref="I17:I20"/>
    <mergeCell ref="J17:J20"/>
    <mergeCell ref="K17:K20"/>
    <mergeCell ref="L17:L20"/>
    <mergeCell ref="I24:I25"/>
    <mergeCell ref="I31:I32"/>
    <mergeCell ref="I35:I36"/>
    <mergeCell ref="I38:I42"/>
    <mergeCell ref="J38:J42"/>
    <mergeCell ref="A27:A29"/>
    <mergeCell ref="B27:H29"/>
    <mergeCell ref="I27:I29"/>
    <mergeCell ref="J27:J29"/>
    <mergeCell ref="K38:K42"/>
    <mergeCell ref="L38:L42"/>
    <mergeCell ref="A44:A51"/>
    <mergeCell ref="B44:H51"/>
    <mergeCell ref="I44:I51"/>
    <mergeCell ref="J44:J51"/>
    <mergeCell ref="K44:K51"/>
    <mergeCell ref="L44:L51"/>
    <mergeCell ref="A31:A42"/>
    <mergeCell ref="B31:H42"/>
    <mergeCell ref="A53:A58"/>
    <mergeCell ref="B53:H58"/>
    <mergeCell ref="I53:I71"/>
    <mergeCell ref="J53:J58"/>
    <mergeCell ref="K53:K58"/>
    <mergeCell ref="L53:L58"/>
    <mergeCell ref="A59:A71"/>
    <mergeCell ref="B59:H71"/>
    <mergeCell ref="J59:J71"/>
    <mergeCell ref="K59:K71"/>
    <mergeCell ref="L59:L71"/>
    <mergeCell ref="A73:A75"/>
    <mergeCell ref="B73:H75"/>
    <mergeCell ref="I73:I75"/>
    <mergeCell ref="J73:J75"/>
    <mergeCell ref="K73:K75"/>
    <mergeCell ref="L73:L75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V76:V77"/>
    <mergeCell ref="W76:W77"/>
    <mergeCell ref="X76:X77"/>
    <mergeCell ref="M76:M77"/>
    <mergeCell ref="N76:N77"/>
    <mergeCell ref="O76:O77"/>
    <mergeCell ref="P76:P77"/>
    <mergeCell ref="Q76:Q77"/>
    <mergeCell ref="R76:R77"/>
    <mergeCell ref="Y76:Y77"/>
    <mergeCell ref="Z76:Z77"/>
    <mergeCell ref="B78:H97"/>
    <mergeCell ref="I78:I97"/>
    <mergeCell ref="M78:M109"/>
    <mergeCell ref="B98:H109"/>
    <mergeCell ref="I98:I109"/>
    <mergeCell ref="S76:S77"/>
    <mergeCell ref="T76:T77"/>
    <mergeCell ref="U76:U77"/>
    <mergeCell ref="B111:H139"/>
    <mergeCell ref="I111:I139"/>
    <mergeCell ref="M111:M126"/>
    <mergeCell ref="M127:M139"/>
    <mergeCell ref="A141:A143"/>
    <mergeCell ref="B141:H145"/>
    <mergeCell ref="I141:I143"/>
    <mergeCell ref="J141:J143"/>
    <mergeCell ref="K141:K143"/>
    <mergeCell ref="L141:L143"/>
    <mergeCell ref="A144:A145"/>
    <mergeCell ref="A146:N146"/>
    <mergeCell ref="A151:M151"/>
    <mergeCell ref="A153:A172"/>
    <mergeCell ref="B153:H172"/>
    <mergeCell ref="I153:I170"/>
    <mergeCell ref="J154:J170"/>
    <mergeCell ref="K154:K170"/>
    <mergeCell ref="L154:L170"/>
    <mergeCell ref="I171:I172"/>
    <mergeCell ref="A174:A180"/>
    <mergeCell ref="B174:H180"/>
    <mergeCell ref="I174:I180"/>
    <mergeCell ref="J174:J180"/>
    <mergeCell ref="K174:K180"/>
    <mergeCell ref="L174:L180"/>
    <mergeCell ref="A181:A212"/>
    <mergeCell ref="B181:H212"/>
    <mergeCell ref="I182:I212"/>
    <mergeCell ref="J182:J212"/>
    <mergeCell ref="K182:K212"/>
    <mergeCell ref="L182:L212"/>
    <mergeCell ref="A213:A220"/>
    <mergeCell ref="B213:H220"/>
    <mergeCell ref="I213:I220"/>
    <mergeCell ref="J213:J220"/>
    <mergeCell ref="K213:K220"/>
    <mergeCell ref="L213:L220"/>
    <mergeCell ref="A221:A262"/>
    <mergeCell ref="B221:H262"/>
    <mergeCell ref="I221:I262"/>
    <mergeCell ref="J221:J262"/>
    <mergeCell ref="K221:K262"/>
    <mergeCell ref="L221:L262"/>
    <mergeCell ref="A263:A266"/>
    <mergeCell ref="B263:H266"/>
    <mergeCell ref="I263:I266"/>
    <mergeCell ref="J263:J266"/>
    <mergeCell ref="K263:K266"/>
    <mergeCell ref="L263:L266"/>
    <mergeCell ref="A270:A275"/>
    <mergeCell ref="B270:H275"/>
    <mergeCell ref="I270:I275"/>
    <mergeCell ref="J270:J275"/>
    <mergeCell ref="K270:K275"/>
    <mergeCell ref="L270:L275"/>
    <mergeCell ref="A277:A279"/>
    <mergeCell ref="B277:H278"/>
    <mergeCell ref="L278:L279"/>
    <mergeCell ref="N278:N279"/>
    <mergeCell ref="B279:H279"/>
    <mergeCell ref="A281:A284"/>
    <mergeCell ref="B281:H284"/>
    <mergeCell ref="L281:L284"/>
    <mergeCell ref="N282:N284"/>
    <mergeCell ref="A288:A290"/>
    <mergeCell ref="B288:H290"/>
    <mergeCell ref="I288:I290"/>
    <mergeCell ref="A291:N291"/>
    <mergeCell ref="B295:H295"/>
    <mergeCell ref="I297:I298"/>
    <mergeCell ref="A302:M302"/>
    <mergeCell ref="B304:H304"/>
    <mergeCell ref="B306:H306"/>
    <mergeCell ref="B311:H340"/>
    <mergeCell ref="I311:I340"/>
    <mergeCell ref="A355:M355"/>
    <mergeCell ref="I344:I354"/>
    <mergeCell ref="A344:A354"/>
    <mergeCell ref="B344:H354"/>
    <mergeCell ref="A308:A309"/>
    <mergeCell ref="A357:A389"/>
    <mergeCell ref="B357:H389"/>
    <mergeCell ref="I357:I389"/>
    <mergeCell ref="A395:N395"/>
    <mergeCell ref="B399:H399"/>
    <mergeCell ref="I399:I446"/>
    <mergeCell ref="B400:H402"/>
    <mergeCell ref="J400:J402"/>
    <mergeCell ref="K400:K402"/>
    <mergeCell ref="L400:L402"/>
    <mergeCell ref="B403:H403"/>
    <mergeCell ref="B404:H404"/>
    <mergeCell ref="J405:J433"/>
    <mergeCell ref="K405:K433"/>
    <mergeCell ref="L405:L433"/>
    <mergeCell ref="B444:H444"/>
    <mergeCell ref="B445:H445"/>
    <mergeCell ref="B446:H446"/>
    <mergeCell ref="A448:A449"/>
    <mergeCell ref="B448:H449"/>
    <mergeCell ref="I448:I449"/>
    <mergeCell ref="W448:W449"/>
    <mergeCell ref="X448:X449"/>
    <mergeCell ref="Y448:Y449"/>
    <mergeCell ref="Z448:Z449"/>
    <mergeCell ref="B451:H451"/>
    <mergeCell ref="I451:I523"/>
    <mergeCell ref="B452:H523"/>
    <mergeCell ref="A454:A455"/>
    <mergeCell ref="M454:M455"/>
    <mergeCell ref="A456:A457"/>
    <mergeCell ref="M456:M457"/>
    <mergeCell ref="A458:A459"/>
    <mergeCell ref="M458:M459"/>
    <mergeCell ref="A460:A461"/>
    <mergeCell ref="M460:M461"/>
    <mergeCell ref="A462:A463"/>
    <mergeCell ref="M462:M463"/>
    <mergeCell ref="A464:A465"/>
    <mergeCell ref="M464:M465"/>
    <mergeCell ref="A466:A467"/>
    <mergeCell ref="M466:M467"/>
    <mergeCell ref="A468:A469"/>
    <mergeCell ref="M468:M469"/>
    <mergeCell ref="A470:A471"/>
    <mergeCell ref="M470:M471"/>
    <mergeCell ref="A472:A473"/>
    <mergeCell ref="M472:M473"/>
    <mergeCell ref="A474:A475"/>
    <mergeCell ref="M474:M475"/>
    <mergeCell ref="A476:A477"/>
    <mergeCell ref="M476:M477"/>
    <mergeCell ref="A478:A479"/>
    <mergeCell ref="M478:M479"/>
    <mergeCell ref="A480:A481"/>
    <mergeCell ref="M480:M481"/>
    <mergeCell ref="A482:A483"/>
    <mergeCell ref="M482:M483"/>
    <mergeCell ref="A484:A485"/>
    <mergeCell ref="M484:M485"/>
    <mergeCell ref="A486:A487"/>
    <mergeCell ref="M486:M487"/>
    <mergeCell ref="A488:A489"/>
    <mergeCell ref="M488:M489"/>
    <mergeCell ref="A490:A491"/>
    <mergeCell ref="M490:M491"/>
    <mergeCell ref="A492:A493"/>
    <mergeCell ref="M492:M493"/>
    <mergeCell ref="A494:A495"/>
    <mergeCell ref="M494:M495"/>
    <mergeCell ref="A496:A497"/>
    <mergeCell ref="M496:M497"/>
    <mergeCell ref="A498:A499"/>
    <mergeCell ref="M498:M499"/>
    <mergeCell ref="A500:A501"/>
    <mergeCell ref="M500:M501"/>
    <mergeCell ref="A502:A503"/>
    <mergeCell ref="M502:M503"/>
    <mergeCell ref="A504:A505"/>
    <mergeCell ref="M504:M505"/>
    <mergeCell ref="A506:A507"/>
    <mergeCell ref="M506:M507"/>
    <mergeCell ref="A508:A509"/>
    <mergeCell ref="M508:M509"/>
    <mergeCell ref="A510:A513"/>
    <mergeCell ref="M510:M511"/>
    <mergeCell ref="M512:M513"/>
    <mergeCell ref="A514:A515"/>
    <mergeCell ref="M514:M515"/>
    <mergeCell ref="A516:A517"/>
    <mergeCell ref="M516:M517"/>
    <mergeCell ref="A518:A519"/>
    <mergeCell ref="M518:M519"/>
    <mergeCell ref="A520:A521"/>
    <mergeCell ref="M520:M521"/>
    <mergeCell ref="A522:A523"/>
    <mergeCell ref="M522:M523"/>
    <mergeCell ref="B524:H524"/>
    <mergeCell ref="I524:I540"/>
    <mergeCell ref="B525:H525"/>
    <mergeCell ref="B526:H526"/>
    <mergeCell ref="A527:A528"/>
    <mergeCell ref="B527:H540"/>
    <mergeCell ref="M527:M528"/>
    <mergeCell ref="A529:A530"/>
    <mergeCell ref="M529:M530"/>
    <mergeCell ref="A531:A532"/>
    <mergeCell ref="M531:M532"/>
    <mergeCell ref="A533:A534"/>
    <mergeCell ref="M533:M534"/>
    <mergeCell ref="A535:A536"/>
    <mergeCell ref="M535:M536"/>
    <mergeCell ref="A537:A538"/>
    <mergeCell ref="M537:M538"/>
    <mergeCell ref="A539:A540"/>
    <mergeCell ref="M539:M540"/>
    <mergeCell ref="B541:H541"/>
    <mergeCell ref="B542:H542"/>
    <mergeCell ref="B543:H558"/>
    <mergeCell ref="I543:I558"/>
    <mergeCell ref="L543:L558"/>
    <mergeCell ref="A544:A549"/>
    <mergeCell ref="J544:J549"/>
    <mergeCell ref="K544:K549"/>
    <mergeCell ref="J555:J557"/>
    <mergeCell ref="K555:K557"/>
    <mergeCell ref="B561:H561"/>
    <mergeCell ref="I561:I586"/>
    <mergeCell ref="B562:H562"/>
    <mergeCell ref="B563:H563"/>
    <mergeCell ref="B564:H564"/>
    <mergeCell ref="B565:H565"/>
    <mergeCell ref="B566:H566"/>
    <mergeCell ref="B567:H567"/>
    <mergeCell ref="B568:H568"/>
    <mergeCell ref="B569:H569"/>
    <mergeCell ref="B570:H570"/>
    <mergeCell ref="B571:H571"/>
    <mergeCell ref="B572:H572"/>
    <mergeCell ref="B573:H573"/>
    <mergeCell ref="B574:H574"/>
    <mergeCell ref="B575:H575"/>
    <mergeCell ref="B576:H576"/>
    <mergeCell ref="B577:H577"/>
    <mergeCell ref="B578:H578"/>
    <mergeCell ref="B579:H579"/>
    <mergeCell ref="B580:H580"/>
    <mergeCell ref="B581:H581"/>
    <mergeCell ref="B582:H582"/>
    <mergeCell ref="B583:H583"/>
    <mergeCell ref="B584:H584"/>
    <mergeCell ref="B585:H585"/>
    <mergeCell ref="B586:H586"/>
    <mergeCell ref="A587:N587"/>
    <mergeCell ref="X595:X596"/>
    <mergeCell ref="A595:A596"/>
    <mergeCell ref="B595:B596"/>
    <mergeCell ref="C595:C596"/>
    <mergeCell ref="D595:D596"/>
    <mergeCell ref="E595:E596"/>
    <mergeCell ref="G595:G596"/>
    <mergeCell ref="H595:H596"/>
    <mergeCell ref="I595:I596"/>
    <mergeCell ref="K603:K609"/>
    <mergeCell ref="M595:M596"/>
    <mergeCell ref="N595:N596"/>
    <mergeCell ref="U595:U596"/>
    <mergeCell ref="V595:V596"/>
    <mergeCell ref="W595:W596"/>
    <mergeCell ref="B615:H615"/>
    <mergeCell ref="B617:H617"/>
    <mergeCell ref="Y595:Y596"/>
    <mergeCell ref="Z595:Z596"/>
    <mergeCell ref="B597:H597"/>
    <mergeCell ref="A600:N600"/>
    <mergeCell ref="A602:A603"/>
    <mergeCell ref="I602:I603"/>
    <mergeCell ref="L602:L609"/>
    <mergeCell ref="J603:J609"/>
    <mergeCell ref="A643:A644"/>
    <mergeCell ref="A645:A646"/>
    <mergeCell ref="A647:A649"/>
    <mergeCell ref="A618:M618"/>
    <mergeCell ref="B620:H628"/>
    <mergeCell ref="L620:L628"/>
    <mergeCell ref="A622:A623"/>
    <mergeCell ref="A625:A626"/>
    <mergeCell ref="A633:A635"/>
    <mergeCell ref="A390:N390"/>
    <mergeCell ref="I589:I590"/>
    <mergeCell ref="B589:H590"/>
    <mergeCell ref="A589:A590"/>
    <mergeCell ref="A636:A637"/>
    <mergeCell ref="A641:A642"/>
    <mergeCell ref="J610:J611"/>
    <mergeCell ref="K610:K611"/>
    <mergeCell ref="L610:L611"/>
    <mergeCell ref="A613:M613"/>
    <mergeCell ref="Z592:Z593"/>
    <mergeCell ref="A594:N594"/>
    <mergeCell ref="B293:H293"/>
    <mergeCell ref="I300:I301"/>
    <mergeCell ref="A592:A593"/>
    <mergeCell ref="B592:H593"/>
    <mergeCell ref="I592:I593"/>
    <mergeCell ref="W592:W593"/>
    <mergeCell ref="X592:X593"/>
    <mergeCell ref="Y592:Y593"/>
  </mergeCells>
  <printOptions horizontalCentered="1"/>
  <pageMargins left="0.11811023622047245" right="0.11811023622047245" top="0.15748031496062992" bottom="0.15748031496062992" header="0.31496062992125984" footer="0.31496062992125984"/>
  <pageSetup horizontalDpi="180" verticalDpi="180" orientation="landscape" paperSize="9" scale="50" r:id="rId3"/>
  <rowBreaks count="4" manualBreakCount="4">
    <brk id="583" max="86" man="1"/>
    <brk id="590" max="86" man="1"/>
    <brk id="600" max="86" man="1"/>
    <brk id="608" max="86" man="1"/>
  </rowBreaks>
  <colBreaks count="1" manualBreakCount="1">
    <brk id="2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2018-05-17T13:48:18Z</dcterms:modified>
  <cp:category/>
  <cp:version/>
  <cp:contentType/>
  <cp:contentStatus/>
</cp:coreProperties>
</file>